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9C559B2C-8EB8-4239-8A44-32921DD1FAC9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Nyborg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5" l="1"/>
  <c r="G20" i="5" s="1"/>
  <c r="H20" i="5" s="1"/>
  <c r="F17" i="5"/>
  <c r="G17" i="5" s="1"/>
  <c r="H17" i="5" s="1"/>
  <c r="F16" i="5"/>
  <c r="F12" i="5"/>
  <c r="G12" i="5" s="1"/>
  <c r="H12" i="5" s="1"/>
  <c r="F8" i="5"/>
  <c r="G8" i="5" s="1"/>
  <c r="H8" i="5" s="1"/>
  <c r="C15" i="5"/>
  <c r="D15" i="5" s="1"/>
  <c r="E15" i="5" s="1"/>
  <c r="C14" i="5"/>
  <c r="C13" i="5"/>
  <c r="C10" i="5"/>
  <c r="D10" i="5" s="1"/>
  <c r="E10" i="5" s="1"/>
  <c r="C8" i="5"/>
  <c r="C5" i="5"/>
  <c r="D5" i="5" s="1"/>
  <c r="E5" i="5" s="1"/>
  <c r="D13" i="5"/>
  <c r="E13" i="5" s="1"/>
  <c r="D8" i="5"/>
  <c r="E8" i="5" s="1"/>
  <c r="K15" i="2"/>
  <c r="J15" i="2" s="1"/>
  <c r="D14" i="5"/>
  <c r="E14" i="5" s="1"/>
  <c r="C16" i="4"/>
  <c r="I42" i="2" s="1"/>
  <c r="J42" i="2" s="1"/>
  <c r="K42" i="2" s="1"/>
  <c r="C15" i="4"/>
  <c r="I40" i="2" s="1"/>
  <c r="J40" i="2" s="1"/>
  <c r="K40" i="2" s="1"/>
  <c r="C14" i="4"/>
  <c r="I38" i="2" s="1"/>
  <c r="J38" i="2" s="1"/>
  <c r="K38" i="2" s="1"/>
  <c r="C13" i="4"/>
  <c r="I36" i="2" s="1"/>
  <c r="J36" i="2" s="1"/>
  <c r="K36" i="2" s="1"/>
  <c r="K13" i="2"/>
  <c r="J13" i="2" s="1"/>
  <c r="H33" i="2"/>
  <c r="K16" i="2"/>
  <c r="J16" i="2" s="1"/>
  <c r="I54" i="2"/>
  <c r="J54" i="2" s="1"/>
  <c r="K54" i="2" s="1"/>
  <c r="I52" i="2"/>
  <c r="J52" i="2" s="1"/>
  <c r="K52" i="2" s="1"/>
  <c r="I50" i="2"/>
  <c r="J50" i="2" s="1"/>
  <c r="K50" i="2" s="1"/>
  <c r="K49" i="2"/>
  <c r="K51" i="2"/>
  <c r="C28" i="4"/>
  <c r="C27" i="4"/>
  <c r="K47" i="2"/>
  <c r="K53" i="2"/>
  <c r="C22" i="4"/>
  <c r="I44" i="2" s="1"/>
  <c r="J44" i="2" s="1"/>
  <c r="K44" i="2" s="1"/>
  <c r="C24" i="4"/>
  <c r="I48" i="2" s="1"/>
  <c r="J48" i="2" s="1"/>
  <c r="K48" i="2" s="1"/>
  <c r="C23" i="4"/>
  <c r="I46" i="2" s="1"/>
  <c r="J46" i="2" s="1"/>
  <c r="K46" i="2" s="1"/>
  <c r="H35" i="2"/>
  <c r="H41" i="2" s="1"/>
  <c r="C12" i="4"/>
  <c r="I32" i="2"/>
  <c r="J32" i="2" s="1"/>
  <c r="K32" i="2" s="1"/>
  <c r="H31" i="2"/>
  <c r="H39" i="2"/>
  <c r="K14" i="2"/>
  <c r="J14" i="2" s="1"/>
  <c r="G10" i="5"/>
  <c r="H56" i="2"/>
  <c r="H37" i="2"/>
  <c r="C20" i="4"/>
  <c r="I57" i="2" s="1"/>
  <c r="J57" i="2" s="1"/>
  <c r="K57" i="2" s="1"/>
  <c r="C5" i="4"/>
  <c r="I34" i="2" s="1"/>
  <c r="J34" i="2" s="1"/>
  <c r="K34" i="2" s="1"/>
  <c r="C6" i="4"/>
  <c r="I18" i="2" s="1"/>
  <c r="J18" i="2" s="1"/>
  <c r="K18" i="2" s="1"/>
  <c r="C11" i="4"/>
  <c r="I28" i="2" s="1"/>
  <c r="J28" i="2" s="1"/>
  <c r="K28" i="2" s="1"/>
  <c r="C9" i="4"/>
  <c r="I19" i="2" s="1"/>
  <c r="J19" i="2" s="1"/>
  <c r="K19" i="2" s="1"/>
  <c r="C8" i="4"/>
  <c r="I21" i="2" s="1"/>
  <c r="J21" i="2" s="1"/>
  <c r="K21" i="2" s="1"/>
  <c r="C4" i="4"/>
  <c r="I30" i="2" s="1"/>
  <c r="J30" i="2" s="1"/>
  <c r="K30" i="2" s="1"/>
  <c r="C3" i="4"/>
  <c r="C18" i="4"/>
  <c r="I23" i="2"/>
  <c r="J23" i="2" s="1"/>
  <c r="K23" i="2" s="1"/>
  <c r="C10" i="4"/>
  <c r="I20" i="2" s="1"/>
  <c r="J20" i="2" s="1"/>
  <c r="K20" i="2" s="1"/>
  <c r="C17" i="4"/>
  <c r="I24" i="2" s="1"/>
  <c r="J24" i="2" s="1"/>
  <c r="K24" i="2" s="1"/>
  <c r="C7" i="4"/>
  <c r="G16" i="5"/>
  <c r="H16" i="5" s="1"/>
  <c r="I22" i="2" l="1"/>
  <c r="J22" i="2" s="1"/>
  <c r="K22" i="2" s="1"/>
  <c r="K60" i="2" s="1"/>
  <c r="J60" i="2" l="1"/>
</calcChain>
</file>

<file path=xl/sharedStrings.xml><?xml version="1.0" encoding="utf-8"?>
<sst xmlns="http://schemas.openxmlformats.org/spreadsheetml/2006/main" count="136" uniqueCount="110">
  <si>
    <t>Pr. år</t>
  </si>
  <si>
    <t>Pr. måned</t>
  </si>
  <si>
    <t>Dato:</t>
  </si>
  <si>
    <t>Reguleringsfaktor: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</si>
  <si>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</si>
  <si>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</si>
  <si>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</si>
  <si>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</si>
  <si>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Løn i alt, bortset fra evt. overtid.</t>
  </si>
  <si>
    <t>Navn:</t>
  </si>
  <si>
    <t>Souschef / stedfortræder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</si>
  <si>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</si>
  <si>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</si>
  <si>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</si>
  <si>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</si>
  <si>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</si>
  <si>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</si>
  <si>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</si>
  <si>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</si>
  <si>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</si>
  <si>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</si>
  <si>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Øvrige centralt aftalte tillæg, du kan være omfattet af</t>
  </si>
  <si>
    <t>Løn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</si>
  <si>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</si>
  <si>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</si>
  <si>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</si>
  <si>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</si>
  <si>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</si>
  <si>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</si>
  <si>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</si>
  <si>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</si>
  <si>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</si>
  <si>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</si>
  <si>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</si>
  <si>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</si>
  <si>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</si>
  <si>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</si>
  <si>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</si>
  <si>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</si>
  <si>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</si>
  <si>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</si>
  <si>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</si>
  <si>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</si>
  <si>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</si>
  <si>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</si>
  <si>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</si>
  <si>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Lokalt aftalt kvalifikationstillæg</t>
  </si>
  <si>
    <t>E</t>
  </si>
  <si>
    <t>** Aunslev skole, Birkhovedskolen, Borgeskovskolen, Skovparkskolen og Vindinge skole</t>
  </si>
  <si>
    <t>F</t>
  </si>
  <si>
    <r>
      <t xml:space="preserve">Beløb </t>
    </r>
    <r>
      <rPr>
        <sz val="8"/>
        <rFont val="Arial"/>
        <family val="2"/>
      </rPr>
      <t>(31.3.00)</t>
    </r>
  </si>
  <si>
    <t>Skriv 4:</t>
  </si>
  <si>
    <t>Vi tager forbehold for fejl i regnearket. Kontakt kredsen eller din TR, hvis der er forskel mellem din løn og denne beregning.</t>
  </si>
  <si>
    <t>Funktionstillæg til tillidsrepræsentanten</t>
  </si>
  <si>
    <r>
      <t xml:space="preserve">Vejledning: </t>
    </r>
    <r>
      <rPr>
        <sz val="10"/>
        <color indexed="16"/>
        <rFont val="Arial"/>
        <family val="2"/>
      </rPr>
      <t xml:space="preserve">Du skal bruge din lønseddel og din opgaveoversigt. Skriv kun i de gule felter - og kun hvor du får tillægget </t>
    </r>
  </si>
  <si>
    <t>Skoleafhængigt funktionstillæg</t>
  </si>
  <si>
    <t>G</t>
  </si>
  <si>
    <t>Kvalifikationsløn for ikke-læreruddannede efter 4, 8 eller 12 år:</t>
  </si>
  <si>
    <t>Kontakt lærerkredsen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</si>
  <si>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rFont val="Arial"/>
        <family val="2"/>
      </rPr>
      <t xml:space="preserve"> Særlig støtte til tosprogede o.a.</t>
    </r>
  </si>
  <si>
    <t xml:space="preserve">11.200 kr. (31.3.00) årligt </t>
  </si>
  <si>
    <t>Tværgående funktionstillæg, IT-, skolebibl.- og tosprogskoordin.</t>
  </si>
  <si>
    <t>Tværgående koordinatorer: IT, Skolebibliotek, Tosprogskoordinator</t>
  </si>
  <si>
    <t>H</t>
  </si>
  <si>
    <t>I</t>
  </si>
  <si>
    <t>J</t>
  </si>
  <si>
    <t>Tillidsrepræsentant, Fællestillidsrepræsentant</t>
  </si>
  <si>
    <t>Pæd. Diplomuddannelse, anvendt cand.pæd. udd.</t>
  </si>
  <si>
    <t>Kvalifikationsløn, Pæd. Diplomuddannelse / Anvendt cand.pæd.</t>
  </si>
  <si>
    <t>Funktionstillæg til arbejdsmiljørepræsentant</t>
  </si>
  <si>
    <t>Arbejdsmiljørepræsentant</t>
  </si>
  <si>
    <t>Undervisningstillæg over årligt 750 t (lærere) 835 (bh.kl.le.). Skriv tallet:</t>
  </si>
  <si>
    <t>Specialundervisning</t>
  </si>
  <si>
    <t>Udfasning af aldersreduktion, Lov 409, OK § 13, OK-ansatte</t>
  </si>
  <si>
    <t>Udfasning af aldersreduktion, Lov 409, OK § 13,tjm.</t>
  </si>
  <si>
    <r>
      <t xml:space="preserve">Lokalt aftalt løn. </t>
    </r>
    <r>
      <rPr>
        <b/>
        <sz val="10"/>
        <color indexed="10"/>
        <rFont val="Arial"/>
        <family val="2"/>
      </rPr>
      <t>Enten</t>
    </r>
    <r>
      <rPr>
        <b/>
        <sz val="10"/>
        <rFont val="Arial"/>
        <family val="2"/>
      </rPr>
      <t xml:space="preserve"> A, B, C, D, E eller F </t>
    </r>
    <r>
      <rPr>
        <b/>
        <sz val="10"/>
        <color indexed="16"/>
        <rFont val="Arial"/>
        <family val="2"/>
      </rPr>
      <t>skal</t>
    </r>
    <r>
      <rPr>
        <b/>
        <sz val="10"/>
        <rFont val="Arial"/>
        <family val="2"/>
      </rPr>
      <t xml:space="preserve"> udfyldes.</t>
    </r>
  </si>
  <si>
    <t xml:space="preserve">9.000 kr. (31.3.00) årligt </t>
  </si>
  <si>
    <t xml:space="preserve">5.000 kr. (31.3.00) årligt </t>
  </si>
  <si>
    <t xml:space="preserve">Evt. funktionstillæg for dig på din skole. </t>
  </si>
  <si>
    <t>Evt. funktionstillæg for dig på din skole.</t>
  </si>
  <si>
    <t>F-tillæg 2014 for lærere, tjenestemænd, 1 løntrin + 5.882 kr.</t>
  </si>
  <si>
    <t>F-tillæg 2014 for bh.kl.le., tjenestemænd, 1 løntrin + 5991 kr.</t>
  </si>
  <si>
    <t>F-tillæg 2014, Gl. Nyborg, lærere tjenestemænd, 2 trin + 2202 kr.</t>
  </si>
  <si>
    <t xml:space="preserve">F-tillæg 2014, Gl. Nyborg,  bh.kl.le., 2 trin </t>
  </si>
  <si>
    <t>F-tillæg 2015 for OK-ans. læ. På personlig ordning</t>
  </si>
  <si>
    <t>F-tillæg 2015 for OK-ans. lærere</t>
  </si>
  <si>
    <t>F-tillæg  2015 for OK-ans- bh.kl.le. På personlig ordning</t>
  </si>
  <si>
    <t>F- tillæg 2015 for OK-ans. Bh.kl.le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</si>
  <si>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lærere </t>
    </r>
  </si>
  <si>
    <t>13.637 kr. (31.3.00) årligt pensionsgivende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</si>
  <si>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lærere på pers. ordn.</t>
    </r>
  </si>
  <si>
    <t>12.282kr. (31.3.00) årligt pensionsgivende</t>
  </si>
  <si>
    <t>1 løntrin + 5.882 kr. årligt (31.3.00)</t>
  </si>
  <si>
    <t>1 løntrin + 5.991 kr. årligt (31.3.00)</t>
  </si>
  <si>
    <t>2 løntrin + 2.202 kr. årligt (31.3.00)</t>
  </si>
  <si>
    <t xml:space="preserve">2 løntrin 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</si>
  <si>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lærere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</si>
  <si>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bh.kl.le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</si>
  <si>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tjenestemandsansatte lærere  i Gl. Nyborg*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</si>
  <si>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bh.kl.le i Gl. Nyborg*</t>
    </r>
  </si>
  <si>
    <t>* For tjenestemandsansatte lærere og børnehaveklasseledere ansat i gl. Nyborg Kommune** før 31.7.2007: 2 løntrin + 2.202 kr. årligt.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</si>
  <si>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bh.kl.le.</t>
    </r>
  </si>
  <si>
    <t>11.246 kr. (31.3.00) årligt pensionsgivende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</si>
  <si>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bh.kl.le. på pers. ordn.</t>
    </r>
  </si>
  <si>
    <t>9.891kr. (31.3.00) årligt pensionsgivende</t>
  </si>
  <si>
    <t>tjm tr. 36</t>
  </si>
  <si>
    <t>Nye centrale tillæg fra 1.8.2014 - ophørt 1.4.2016</t>
  </si>
  <si>
    <t>Lønberegningsskema for lærere og børnehaveklasseledere              Nyborg Kommune                                              01.04.26 - 31.10.26</t>
  </si>
  <si>
    <t>1.04.2026</t>
  </si>
  <si>
    <t>Satser 1. april. 2026.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</si>
</sst>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99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rgb="FF99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23" fillId="0" borderId="0"/>
  </cellStyleXfs>
  <cellXfs count="26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2" borderId="1" xfId="0" applyFill="1" applyBorder="1"/>
    <xf numFmtId="14" fontId="0" fillId="3" borderId="1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4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0" borderId="3" xfId="0" applyFont="1" applyBorder="1"/>
    <xf numFmtId="0" fontId="14" fillId="2" borderId="1" xfId="0" applyFont="1" applyFill="1" applyBorder="1"/>
    <xf numFmtId="4" fontId="6" fillId="0" borderId="4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4" fontId="15" fillId="4" borderId="7" xfId="0" applyNumberFormat="1" applyFont="1" applyFill="1" applyBorder="1"/>
    <xf numFmtId="164" fontId="2" fillId="0" borderId="0" xfId="3" applyFont="1"/>
    <xf numFmtId="164" fontId="3" fillId="0" borderId="0" xfId="3" applyFont="1"/>
    <xf numFmtId="0" fontId="5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4" fontId="4" fillId="0" borderId="15" xfId="0" applyNumberFormat="1" applyFont="1" applyBorder="1"/>
    <xf numFmtId="4" fontId="4" fillId="0" borderId="16" xfId="0" applyNumberFormat="1" applyFont="1" applyBorder="1"/>
    <xf numFmtId="3" fontId="4" fillId="4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4" fontId="4" fillId="0" borderId="19" xfId="0" applyNumberFormat="1" applyFont="1" applyBorder="1"/>
    <xf numFmtId="0" fontId="5" fillId="0" borderId="0" xfId="0" applyFont="1" applyAlignment="1">
      <alignment horizontal="left"/>
    </xf>
    <xf numFmtId="0" fontId="4" fillId="6" borderId="20" xfId="0" applyFon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left" vertical="center"/>
    </xf>
    <xf numFmtId="0" fontId="3" fillId="5" borderId="22" xfId="0" applyFont="1" applyFill="1" applyBorder="1"/>
    <xf numFmtId="0" fontId="5" fillId="5" borderId="2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167" fontId="10" fillId="0" borderId="23" xfId="3" applyNumberFormat="1" applyFont="1" applyBorder="1"/>
    <xf numFmtId="167" fontId="4" fillId="4" borderId="2" xfId="3" applyNumberFormat="1" applyFont="1" applyFill="1" applyBorder="1" applyAlignment="1">
      <alignment horizontal="center" vertical="center"/>
    </xf>
    <xf numFmtId="167" fontId="10" fillId="0" borderId="24" xfId="3" applyNumberFormat="1" applyFont="1" applyBorder="1"/>
    <xf numFmtId="167" fontId="10" fillId="0" borderId="25" xfId="3" applyNumberFormat="1" applyFont="1" applyBorder="1"/>
    <xf numFmtId="167" fontId="16" fillId="4" borderId="26" xfId="3" applyNumberFormat="1" applyFont="1" applyFill="1" applyBorder="1"/>
    <xf numFmtId="3" fontId="4" fillId="6" borderId="27" xfId="0" applyNumberFormat="1" applyFont="1" applyFill="1" applyBorder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4" fillId="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28" xfId="0" applyFont="1" applyBorder="1"/>
    <xf numFmtId="0" fontId="5" fillId="0" borderId="29" xfId="0" applyFont="1" applyBorder="1"/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3" fontId="4" fillId="0" borderId="31" xfId="0" applyNumberFormat="1" applyFont="1" applyBorder="1"/>
    <xf numFmtId="0" fontId="4" fillId="0" borderId="14" xfId="0" applyFont="1" applyBorder="1" applyAlignment="1">
      <alignment horizontal="left"/>
    </xf>
    <xf numFmtId="3" fontId="4" fillId="0" borderId="32" xfId="0" applyNumberFormat="1" applyFont="1" applyBorder="1"/>
    <xf numFmtId="0" fontId="4" fillId="0" borderId="18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/>
    <xf numFmtId="0" fontId="13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0" fillId="0" borderId="6" xfId="0" applyBorder="1"/>
    <xf numFmtId="3" fontId="0" fillId="0" borderId="4" xfId="0" applyNumberFormat="1" applyBorder="1"/>
    <xf numFmtId="4" fontId="0" fillId="0" borderId="6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1" xfId="0" applyBorder="1"/>
    <xf numFmtId="3" fontId="4" fillId="6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7" fontId="10" fillId="0" borderId="0" xfId="3" applyNumberFormat="1" applyFont="1" applyFill="1" applyBorder="1"/>
    <xf numFmtId="164" fontId="3" fillId="0" borderId="0" xfId="3" applyFont="1" applyFill="1" applyBorder="1"/>
    <xf numFmtId="0" fontId="5" fillId="0" borderId="14" xfId="0" applyFont="1" applyBorder="1" applyAlignment="1">
      <alignment horizontal="center"/>
    </xf>
    <xf numFmtId="0" fontId="4" fillId="0" borderId="33" xfId="0" applyFont="1" applyBorder="1"/>
    <xf numFmtId="4" fontId="4" fillId="0" borderId="35" xfId="0" applyNumberFormat="1" applyFont="1" applyBorder="1" applyAlignment="1">
      <alignment horizontal="right"/>
    </xf>
    <xf numFmtId="164" fontId="3" fillId="0" borderId="0" xfId="3" applyFont="1" applyBorder="1"/>
    <xf numFmtId="0" fontId="5" fillId="4" borderId="8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3" fontId="4" fillId="4" borderId="36" xfId="0" applyNumberFormat="1" applyFont="1" applyFill="1" applyBorder="1"/>
    <xf numFmtId="164" fontId="4" fillId="0" borderId="0" xfId="3" applyFont="1"/>
    <xf numFmtId="0" fontId="3" fillId="4" borderId="9" xfId="0" applyFont="1" applyFill="1" applyBorder="1"/>
    <xf numFmtId="0" fontId="5" fillId="4" borderId="8" xfId="0" applyFont="1" applyFill="1" applyBorder="1"/>
    <xf numFmtId="0" fontId="4" fillId="4" borderId="10" xfId="0" applyFont="1" applyFill="1" applyBorder="1"/>
    <xf numFmtId="0" fontId="4" fillId="4" borderId="9" xfId="0" applyFont="1" applyFill="1" applyBorder="1"/>
    <xf numFmtId="0" fontId="10" fillId="4" borderId="11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/>
    </xf>
    <xf numFmtId="167" fontId="10" fillId="0" borderId="37" xfId="3" applyNumberFormat="1" applyFont="1" applyBorder="1"/>
    <xf numFmtId="4" fontId="4" fillId="0" borderId="12" xfId="0" applyNumberFormat="1" applyFont="1" applyBorder="1"/>
    <xf numFmtId="0" fontId="4" fillId="6" borderId="38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/>
    </xf>
    <xf numFmtId="39" fontId="0" fillId="0" borderId="0" xfId="0" applyNumberFormat="1"/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164" fontId="11" fillId="0" borderId="0" xfId="3" applyFont="1"/>
    <xf numFmtId="0" fontId="9" fillId="5" borderId="3" xfId="0" applyFont="1" applyFill="1" applyBorder="1"/>
    <xf numFmtId="0" fontId="9" fillId="5" borderId="20" xfId="0" applyFont="1" applyFill="1" applyBorder="1"/>
    <xf numFmtId="4" fontId="9" fillId="0" borderId="23" xfId="0" applyNumberFormat="1" applyFont="1" applyBorder="1" applyAlignment="1">
      <alignment horizontal="right"/>
    </xf>
    <xf numFmtId="167" fontId="9" fillId="0" borderId="4" xfId="3" applyNumberFormat="1" applyFont="1" applyBorder="1"/>
    <xf numFmtId="4" fontId="9" fillId="0" borderId="13" xfId="0" applyNumberFormat="1" applyFont="1" applyBorder="1"/>
    <xf numFmtId="0" fontId="9" fillId="0" borderId="0" xfId="0" applyFont="1"/>
    <xf numFmtId="164" fontId="9" fillId="0" borderId="0" xfId="3" applyFont="1"/>
    <xf numFmtId="0" fontId="9" fillId="0" borderId="39" xfId="0" applyFont="1" applyBorder="1" applyAlignment="1">
      <alignment horizontal="center"/>
    </xf>
    <xf numFmtId="0" fontId="9" fillId="0" borderId="3" xfId="0" applyFont="1" applyBorder="1"/>
    <xf numFmtId="0" fontId="9" fillId="6" borderId="1" xfId="0" applyFont="1" applyFill="1" applyBorder="1" applyAlignment="1">
      <alignment horizontal="center"/>
    </xf>
    <xf numFmtId="4" fontId="9" fillId="0" borderId="27" xfId="0" applyNumberFormat="1" applyFont="1" applyBorder="1" applyAlignment="1">
      <alignment horizontal="right"/>
    </xf>
    <xf numFmtId="167" fontId="9" fillId="0" borderId="40" xfId="3" applyNumberFormat="1" applyFont="1" applyBorder="1"/>
    <xf numFmtId="4" fontId="9" fillId="0" borderId="16" xfId="0" applyNumberFormat="1" applyFont="1" applyBorder="1"/>
    <xf numFmtId="0" fontId="9" fillId="4" borderId="3" xfId="0" applyFont="1" applyFill="1" applyBorder="1"/>
    <xf numFmtId="0" fontId="9" fillId="0" borderId="23" xfId="0" applyFont="1" applyBorder="1" applyAlignment="1">
      <alignment horizontal="center" vertical="center" wrapText="1"/>
    </xf>
    <xf numFmtId="167" fontId="9" fillId="0" borderId="23" xfId="3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right"/>
    </xf>
    <xf numFmtId="167" fontId="9" fillId="0" borderId="27" xfId="3" applyNumberFormat="1" applyFont="1" applyBorder="1"/>
    <xf numFmtId="0" fontId="9" fillId="0" borderId="1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167" fontId="9" fillId="0" borderId="24" xfId="3" applyNumberFormat="1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20" xfId="0" applyFont="1" applyBorder="1"/>
    <xf numFmtId="0" fontId="9" fillId="6" borderId="5" xfId="0" applyFont="1" applyFill="1" applyBorder="1" applyAlignment="1">
      <alignment horizontal="center"/>
    </xf>
    <xf numFmtId="164" fontId="4" fillId="0" borderId="0" xfId="3" applyFont="1" applyFill="1" applyBorder="1"/>
    <xf numFmtId="3" fontId="4" fillId="0" borderId="33" xfId="0" applyNumberFormat="1" applyFont="1" applyBorder="1"/>
    <xf numFmtId="0" fontId="10" fillId="4" borderId="41" xfId="0" applyFont="1" applyFill="1" applyBorder="1" applyAlignment="1">
      <alignment horizontal="center"/>
    </xf>
    <xf numFmtId="167" fontId="9" fillId="0" borderId="24" xfId="3" applyNumberFormat="1" applyFont="1" applyBorder="1"/>
    <xf numFmtId="0" fontId="4" fillId="0" borderId="33" xfId="0" applyFont="1" applyBorder="1" applyAlignment="1">
      <alignment horizontal="right"/>
    </xf>
    <xf numFmtId="0" fontId="9" fillId="4" borderId="42" xfId="0" applyFont="1" applyFill="1" applyBorder="1"/>
    <xf numFmtId="0" fontId="9" fillId="4" borderId="5" xfId="0" applyFont="1" applyFill="1" applyBorder="1"/>
    <xf numFmtId="0" fontId="4" fillId="5" borderId="3" xfId="0" applyFont="1" applyFill="1" applyBorder="1"/>
    <xf numFmtId="0" fontId="9" fillId="5" borderId="42" xfId="0" applyFont="1" applyFill="1" applyBorder="1"/>
    <xf numFmtId="0" fontId="9" fillId="5" borderId="5" xfId="0" applyFont="1" applyFill="1" applyBorder="1"/>
    <xf numFmtId="0" fontId="10" fillId="5" borderId="2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4" fillId="5" borderId="42" xfId="0" applyFont="1" applyFill="1" applyBorder="1"/>
    <xf numFmtId="0" fontId="4" fillId="5" borderId="5" xfId="0" applyFont="1" applyFill="1" applyBorder="1"/>
    <xf numFmtId="167" fontId="10" fillId="0" borderId="4" xfId="1" applyNumberFormat="1" applyFont="1" applyBorder="1"/>
    <xf numFmtId="0" fontId="5" fillId="5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/>
    </xf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165" fontId="0" fillId="0" borderId="1" xfId="0" applyNumberFormat="1" applyBorder="1"/>
    <xf numFmtId="3" fontId="0" fillId="0" borderId="1" xfId="0" applyNumberFormat="1" applyBorder="1"/>
    <xf numFmtId="4" fontId="0" fillId="7" borderId="1" xfId="0" applyNumberFormat="1" applyFill="1" applyBorder="1"/>
    <xf numFmtId="39" fontId="0" fillId="7" borderId="1" xfId="0" applyNumberFormat="1" applyFill="1" applyBorder="1"/>
    <xf numFmtId="0" fontId="4" fillId="0" borderId="39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167" fontId="10" fillId="0" borderId="40" xfId="1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right"/>
    </xf>
    <xf numFmtId="167" fontId="10" fillId="0" borderId="41" xfId="1" applyNumberFormat="1" applyFont="1" applyBorder="1"/>
    <xf numFmtId="3" fontId="0" fillId="0" borderId="5" xfId="0" applyNumberFormat="1" applyBorder="1"/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4" borderId="42" xfId="0" applyFont="1" applyFill="1" applyBorder="1"/>
    <xf numFmtId="0" fontId="4" fillId="0" borderId="18" xfId="4" applyBorder="1" applyAlignment="1">
      <alignment horizontal="center"/>
    </xf>
    <xf numFmtId="0" fontId="4" fillId="0" borderId="33" xfId="4" applyBorder="1"/>
    <xf numFmtId="4" fontId="4" fillId="0" borderId="33" xfId="4" applyNumberFormat="1" applyBorder="1" applyAlignment="1">
      <alignment horizontal="right"/>
    </xf>
    <xf numFmtId="4" fontId="4" fillId="0" borderId="34" xfId="4" applyNumberFormat="1" applyBorder="1"/>
    <xf numFmtId="167" fontId="10" fillId="0" borderId="33" xfId="2" applyNumberFormat="1" applyFont="1" applyBorder="1"/>
    <xf numFmtId="0" fontId="24" fillId="0" borderId="33" xfId="4" applyFont="1" applyBorder="1" applyAlignment="1">
      <alignment horizontal="left"/>
    </xf>
    <xf numFmtId="167" fontId="4" fillId="4" borderId="11" xfId="3" applyNumberFormat="1" applyFont="1" applyFill="1" applyBorder="1" applyAlignment="1">
      <alignment horizontal="center" vertical="center"/>
    </xf>
    <xf numFmtId="4" fontId="9" fillId="0" borderId="41" xfId="0" applyNumberFormat="1" applyFont="1" applyBorder="1" applyAlignment="1">
      <alignment horizontal="right"/>
    </xf>
    <xf numFmtId="4" fontId="4" fillId="0" borderId="44" xfId="0" applyNumberFormat="1" applyFont="1" applyBorder="1"/>
    <xf numFmtId="0" fontId="5" fillId="0" borderId="18" xfId="0" applyFont="1" applyBorder="1" applyAlignment="1">
      <alignment horizontal="left"/>
    </xf>
    <xf numFmtId="0" fontId="4" fillId="6" borderId="35" xfId="0" applyFont="1" applyFill="1" applyBorder="1" applyAlignment="1">
      <alignment horizontal="center"/>
    </xf>
    <xf numFmtId="4" fontId="0" fillId="8" borderId="1" xfId="0" applyNumberFormat="1" applyFill="1" applyBorder="1"/>
    <xf numFmtId="166" fontId="25" fillId="9" borderId="1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right"/>
    </xf>
    <xf numFmtId="167" fontId="9" fillId="0" borderId="25" xfId="3" applyNumberFormat="1" applyFont="1" applyBorder="1"/>
    <xf numFmtId="4" fontId="9" fillId="0" borderId="19" xfId="0" applyNumberFormat="1" applyFont="1" applyBorder="1"/>
    <xf numFmtId="0" fontId="9" fillId="0" borderId="18" xfId="0" applyFont="1" applyBorder="1" applyAlignment="1">
      <alignment horizontal="center"/>
    </xf>
    <xf numFmtId="0" fontId="9" fillId="0" borderId="33" xfId="0" applyFont="1" applyBorder="1"/>
    <xf numFmtId="0" fontId="9" fillId="6" borderId="45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39" fontId="26" fillId="8" borderId="1" xfId="0" applyNumberFormat="1" applyFont="1" applyFill="1" applyBorder="1"/>
    <xf numFmtId="0" fontId="21" fillId="0" borderId="29" xfId="0" applyFont="1" applyBorder="1" applyAlignment="1">
      <alignment horizontal="right" vertical="center" wrapText="1"/>
    </xf>
    <xf numFmtId="0" fontId="21" fillId="0" borderId="29" xfId="0" applyFont="1" applyBorder="1" applyAlignment="1">
      <alignment vertical="center" wrapText="1"/>
    </xf>
    <xf numFmtId="0" fontId="21" fillId="0" borderId="0" xfId="0" applyFont="1"/>
    <xf numFmtId="164" fontId="21" fillId="0" borderId="0" xfId="3" applyFont="1" applyFill="1"/>
    <xf numFmtId="0" fontId="14" fillId="0" borderId="39" xfId="0" applyFont="1" applyBorder="1"/>
    <xf numFmtId="0" fontId="3" fillId="0" borderId="3" xfId="0" applyFont="1" applyBorder="1"/>
    <xf numFmtId="0" fontId="4" fillId="0" borderId="20" xfId="0" applyFont="1" applyBorder="1"/>
    <xf numFmtId="0" fontId="4" fillId="6" borderId="5" xfId="0" applyFont="1" applyFill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167" fontId="10" fillId="0" borderId="27" xfId="3" applyNumberFormat="1" applyFont="1" applyBorder="1"/>
    <xf numFmtId="0" fontId="25" fillId="0" borderId="0" xfId="0" applyFont="1"/>
    <xf numFmtId="0" fontId="4" fillId="10" borderId="1" xfId="0" applyFont="1" applyFill="1" applyBorder="1"/>
    <xf numFmtId="0" fontId="4" fillId="4" borderId="3" xfId="0" applyFont="1" applyFill="1" applyBorder="1"/>
    <xf numFmtId="0" fontId="5" fillId="0" borderId="39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/>
    <xf numFmtId="4" fontId="4" fillId="6" borderId="46" xfId="0" applyNumberFormat="1" applyFont="1" applyFill="1" applyBorder="1" applyAlignment="1">
      <alignment horizontal="right"/>
    </xf>
    <xf numFmtId="4" fontId="4" fillId="0" borderId="40" xfId="0" applyNumberFormat="1" applyFont="1" applyBorder="1" applyAlignment="1">
      <alignment horizontal="right"/>
    </xf>
    <xf numFmtId="167" fontId="10" fillId="0" borderId="27" xfId="1" applyNumberFormat="1" applyFont="1" applyBorder="1"/>
    <xf numFmtId="4" fontId="4" fillId="0" borderId="47" xfId="0" applyNumberFormat="1" applyFont="1" applyBorder="1"/>
    <xf numFmtId="0" fontId="5" fillId="5" borderId="48" xfId="0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0" xfId="0" applyFont="1" applyFill="1" applyBorder="1"/>
    <xf numFmtId="0" fontId="10" fillId="5" borderId="51" xfId="0" applyFont="1" applyFill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/>
    </xf>
    <xf numFmtId="167" fontId="10" fillId="0" borderId="53" xfId="1" applyNumberFormat="1" applyFont="1" applyBorder="1"/>
    <xf numFmtId="4" fontId="4" fillId="0" borderId="54" xfId="0" applyNumberFormat="1" applyFont="1" applyBorder="1"/>
    <xf numFmtId="168" fontId="0" fillId="0" borderId="6" xfId="0" applyNumberFormat="1" applyBorder="1"/>
    <xf numFmtId="4" fontId="0" fillId="11" borderId="1" xfId="0" applyNumberFormat="1" applyFill="1" applyBorder="1"/>
    <xf numFmtId="4" fontId="0" fillId="11" borderId="1" xfId="0" applyNumberFormat="1" applyFill="1" applyBorder="1" applyAlignment="1">
      <alignment vertical="center"/>
    </xf>
    <xf numFmtId="168" fontId="0" fillId="8" borderId="1" xfId="0" applyNumberFormat="1" applyFill="1" applyBorder="1"/>
    <xf numFmtId="168" fontId="0" fillId="0" borderId="0" xfId="0" applyNumberFormat="1"/>
    <xf numFmtId="39" fontId="22" fillId="0" borderId="0" xfId="0" applyNumberFormat="1" applyFont="1"/>
    <xf numFmtId="39" fontId="22" fillId="0" borderId="3" xfId="0" applyNumberFormat="1" applyFont="1" applyBorder="1"/>
    <xf numFmtId="14" fontId="1" fillId="9" borderId="1" xfId="0" applyNumberFormat="1" applyFont="1" applyFill="1" applyBorder="1" applyAlignment="1">
      <alignment horizontal="center"/>
    </xf>
    <xf numFmtId="0" fontId="4" fillId="0" borderId="0" xfId="0" applyFont="1"/>
    <xf numFmtId="0" fontId="7" fillId="12" borderId="46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1" fillId="0" borderId="28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left"/>
    </xf>
    <xf numFmtId="0" fontId="21" fillId="6" borderId="55" xfId="0" applyFont="1" applyFill="1" applyBorder="1" applyAlignment="1">
      <alignment horizontal="left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10" fillId="13" borderId="25" xfId="0" applyFont="1" applyFill="1" applyBorder="1" applyAlignment="1">
      <alignment horizontal="center" vertical="center" wrapText="1"/>
    </xf>
    <xf numFmtId="0" fontId="10" fillId="13" borderId="33" xfId="0" applyFont="1" applyFill="1" applyBorder="1" applyAlignment="1">
      <alignment horizontal="center" vertical="center" wrapText="1"/>
    </xf>
    <xf numFmtId="0" fontId="10" fillId="13" borderId="35" xfId="0" applyFont="1" applyFill="1" applyBorder="1" applyAlignment="1">
      <alignment horizontal="center" vertical="center" wrapText="1"/>
    </xf>
    <xf numFmtId="0" fontId="4" fillId="5" borderId="42" xfId="0" applyFont="1" applyFill="1" applyBorder="1"/>
    <xf numFmtId="0" fontId="9" fillId="5" borderId="42" xfId="0" applyFont="1" applyFill="1" applyBorder="1"/>
    <xf numFmtId="0" fontId="9" fillId="5" borderId="5" xfId="0" applyFont="1" applyFill="1" applyBorder="1"/>
    <xf numFmtId="0" fontId="4" fillId="0" borderId="0" xfId="0" applyFont="1" applyAlignment="1">
      <alignment horizontal="left"/>
    </xf>
    <xf numFmtId="0" fontId="5" fillId="4" borderId="28" xfId="0" applyFont="1" applyFill="1" applyBorder="1"/>
    <xf numFmtId="0" fontId="5" fillId="4" borderId="29" xfId="0" applyFont="1" applyFill="1" applyBorder="1"/>
    <xf numFmtId="0" fontId="8" fillId="9" borderId="46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4" fillId="0" borderId="46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1000-sep (2 dec) 4" xfId="1" xr:uid="{00000000-0005-0000-0000-000000000000}"/>
    <cellStyle name="1000-sep (2 dec) 6" xfId="2" xr:uid="{00000000-0005-0000-0000-000001000000}"/>
    <cellStyle name="Komma" xfId="3" builtinId="3"/>
    <cellStyle name="Normal" xfId="0" builtinId="0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5" name="Picture 1" descr="space">
          <a:extLst>
            <a:ext uri="{FF2B5EF4-FFF2-40B4-BE49-F238E27FC236}">
              <a16:creationId xmlns:a16="http://schemas.microsoft.com/office/drawing/2014/main" id="{BDB25CED-31B3-4792-8BEA-4596BEF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6" name="Picture 2" descr="space">
          <a:extLst>
            <a:ext uri="{FF2B5EF4-FFF2-40B4-BE49-F238E27FC236}">
              <a16:creationId xmlns:a16="http://schemas.microsoft.com/office/drawing/2014/main" id="{B398AAD4-2844-411D-AD73-A95FCAAB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7" name="Picture 3" descr="space">
          <a:extLst>
            <a:ext uri="{FF2B5EF4-FFF2-40B4-BE49-F238E27FC236}">
              <a16:creationId xmlns:a16="http://schemas.microsoft.com/office/drawing/2014/main" id="{E05F227C-79BD-4EAC-88C8-57403424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08" name="Picture 4" descr="space">
          <a:extLst>
            <a:ext uri="{FF2B5EF4-FFF2-40B4-BE49-F238E27FC236}">
              <a16:creationId xmlns:a16="http://schemas.microsoft.com/office/drawing/2014/main" id="{1EBEC2B4-E0BA-4C0A-A7F0-FA0BCE44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09" name="Picture 5" descr="space">
          <a:extLst>
            <a:ext uri="{FF2B5EF4-FFF2-40B4-BE49-F238E27FC236}">
              <a16:creationId xmlns:a16="http://schemas.microsoft.com/office/drawing/2014/main" id="{98D94501-6762-47F1-8925-A5723C66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0" name="Picture 6" descr="space">
          <a:extLst>
            <a:ext uri="{FF2B5EF4-FFF2-40B4-BE49-F238E27FC236}">
              <a16:creationId xmlns:a16="http://schemas.microsoft.com/office/drawing/2014/main" id="{640D3629-C1B0-4CB0-855E-6462DD52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1" name="Picture 7" descr="space">
          <a:extLst>
            <a:ext uri="{FF2B5EF4-FFF2-40B4-BE49-F238E27FC236}">
              <a16:creationId xmlns:a16="http://schemas.microsoft.com/office/drawing/2014/main" id="{68BEDA24-5F0F-4397-9ED0-A5E68FF2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2" name="Picture 8" descr="space">
          <a:extLst>
            <a:ext uri="{FF2B5EF4-FFF2-40B4-BE49-F238E27FC236}">
              <a16:creationId xmlns:a16="http://schemas.microsoft.com/office/drawing/2014/main" id="{E6204394-325E-41F0-9E0B-A1D20704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3" name="Picture 9" descr="space">
          <a:extLst>
            <a:ext uri="{FF2B5EF4-FFF2-40B4-BE49-F238E27FC236}">
              <a16:creationId xmlns:a16="http://schemas.microsoft.com/office/drawing/2014/main" id="{7D82051E-C5A9-48E2-8D52-EA80A949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4" name="Picture 10" descr="space">
          <a:extLst>
            <a:ext uri="{FF2B5EF4-FFF2-40B4-BE49-F238E27FC236}">
              <a16:creationId xmlns:a16="http://schemas.microsoft.com/office/drawing/2014/main" id="{EB095E1E-D3CB-4AAA-B647-74431345B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2115" name="Picture 11" descr="space">
          <a:extLst>
            <a:ext uri="{FF2B5EF4-FFF2-40B4-BE49-F238E27FC236}">
              <a16:creationId xmlns:a16="http://schemas.microsoft.com/office/drawing/2014/main" id="{EC65D63E-AE11-4D25-9E14-C8BB1261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2116" name="Picture 12" descr="space">
          <a:extLst>
            <a:ext uri="{FF2B5EF4-FFF2-40B4-BE49-F238E27FC236}">
              <a16:creationId xmlns:a16="http://schemas.microsoft.com/office/drawing/2014/main" id="{26CA995F-EF2C-40D2-B9C9-FABE79E9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7" name="Picture 13" descr="space">
          <a:extLst>
            <a:ext uri="{FF2B5EF4-FFF2-40B4-BE49-F238E27FC236}">
              <a16:creationId xmlns:a16="http://schemas.microsoft.com/office/drawing/2014/main" id="{84A0608A-A33E-4190-8912-77F8C1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8" name="Picture 14" descr="space">
          <a:extLst>
            <a:ext uri="{FF2B5EF4-FFF2-40B4-BE49-F238E27FC236}">
              <a16:creationId xmlns:a16="http://schemas.microsoft.com/office/drawing/2014/main" id="{F55DFA68-06D2-419B-ADA7-BC7A5716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9" name="Picture 15" descr="space">
          <a:extLst>
            <a:ext uri="{FF2B5EF4-FFF2-40B4-BE49-F238E27FC236}">
              <a16:creationId xmlns:a16="http://schemas.microsoft.com/office/drawing/2014/main" id="{35921D59-06BC-4D72-AA28-8BDAB83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0" name="Picture 16" descr="space">
          <a:extLst>
            <a:ext uri="{FF2B5EF4-FFF2-40B4-BE49-F238E27FC236}">
              <a16:creationId xmlns:a16="http://schemas.microsoft.com/office/drawing/2014/main" id="{43A92A81-8A87-4A13-B22B-6C2EAB0F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1" name="Picture 17" descr="space">
          <a:extLst>
            <a:ext uri="{FF2B5EF4-FFF2-40B4-BE49-F238E27FC236}">
              <a16:creationId xmlns:a16="http://schemas.microsoft.com/office/drawing/2014/main" id="{BCEE5F8C-CE8D-4E58-9AE3-2F3DF644C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2" name="Picture 18" descr="space">
          <a:extLst>
            <a:ext uri="{FF2B5EF4-FFF2-40B4-BE49-F238E27FC236}">
              <a16:creationId xmlns:a16="http://schemas.microsoft.com/office/drawing/2014/main" id="{266B9AE6-59B1-4CAF-9CCD-DC7E6F4B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3" name="Picture 19" descr="space">
          <a:extLst>
            <a:ext uri="{FF2B5EF4-FFF2-40B4-BE49-F238E27FC236}">
              <a16:creationId xmlns:a16="http://schemas.microsoft.com/office/drawing/2014/main" id="{A7316F63-EDDF-41D4-B96F-6E61C787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4" name="Picture 20" descr="space">
          <a:extLst>
            <a:ext uri="{FF2B5EF4-FFF2-40B4-BE49-F238E27FC236}">
              <a16:creationId xmlns:a16="http://schemas.microsoft.com/office/drawing/2014/main" id="{697C7BC6-2477-4129-9A38-7389755B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5" name="Picture 21" descr="space">
          <a:extLst>
            <a:ext uri="{FF2B5EF4-FFF2-40B4-BE49-F238E27FC236}">
              <a16:creationId xmlns:a16="http://schemas.microsoft.com/office/drawing/2014/main" id="{F793A01C-F1F5-4E8D-9463-F75C8E6F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6" name="Picture 22" descr="space">
          <a:extLst>
            <a:ext uri="{FF2B5EF4-FFF2-40B4-BE49-F238E27FC236}">
              <a16:creationId xmlns:a16="http://schemas.microsoft.com/office/drawing/2014/main" id="{9977AC3B-8381-4A04-A4A7-E614D4628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2127" name="Picture 23" descr="space">
          <a:extLst>
            <a:ext uri="{FF2B5EF4-FFF2-40B4-BE49-F238E27FC236}">
              <a16:creationId xmlns:a16="http://schemas.microsoft.com/office/drawing/2014/main" id="{D4ACA1E3-F2BD-4BF6-BFDC-C8A6A8AA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2128" name="Picture 24" descr="space">
          <a:extLst>
            <a:ext uri="{FF2B5EF4-FFF2-40B4-BE49-F238E27FC236}">
              <a16:creationId xmlns:a16="http://schemas.microsoft.com/office/drawing/2014/main" id="{0BBA1B76-0A7D-4107-96E6-383068BF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29" name="Picture 1" descr="space">
          <a:extLst>
            <a:ext uri="{FF2B5EF4-FFF2-40B4-BE49-F238E27FC236}">
              <a16:creationId xmlns:a16="http://schemas.microsoft.com/office/drawing/2014/main" id="{C544934E-608D-4A97-A42C-5F200132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30" name="Picture 2" descr="space">
          <a:extLst>
            <a:ext uri="{FF2B5EF4-FFF2-40B4-BE49-F238E27FC236}">
              <a16:creationId xmlns:a16="http://schemas.microsoft.com/office/drawing/2014/main" id="{8EB34F5F-0E80-4E16-8A47-6228F8D1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31" name="Picture 3" descr="space">
          <a:extLst>
            <a:ext uri="{FF2B5EF4-FFF2-40B4-BE49-F238E27FC236}">
              <a16:creationId xmlns:a16="http://schemas.microsoft.com/office/drawing/2014/main" id="{CC0EC20E-0A57-41A0-BB76-5D38952B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2" name="Picture 4" descr="space">
          <a:extLst>
            <a:ext uri="{FF2B5EF4-FFF2-40B4-BE49-F238E27FC236}">
              <a16:creationId xmlns:a16="http://schemas.microsoft.com/office/drawing/2014/main" id="{F04E5B04-BEA5-4727-AFB7-BEDAE263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3" name="Picture 5" descr="space">
          <a:extLst>
            <a:ext uri="{FF2B5EF4-FFF2-40B4-BE49-F238E27FC236}">
              <a16:creationId xmlns:a16="http://schemas.microsoft.com/office/drawing/2014/main" id="{DB872451-2253-4DE9-A8E8-696AF77A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4" name="Picture 6" descr="space">
          <a:extLst>
            <a:ext uri="{FF2B5EF4-FFF2-40B4-BE49-F238E27FC236}">
              <a16:creationId xmlns:a16="http://schemas.microsoft.com/office/drawing/2014/main" id="{2B5A3333-D4F9-44E4-9B82-D4AB06AB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5" name="Picture 7" descr="space">
          <a:extLst>
            <a:ext uri="{FF2B5EF4-FFF2-40B4-BE49-F238E27FC236}">
              <a16:creationId xmlns:a16="http://schemas.microsoft.com/office/drawing/2014/main" id="{69195689-532F-456B-BB25-AFCEBCA4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6" name="Picture 8" descr="space">
          <a:extLst>
            <a:ext uri="{FF2B5EF4-FFF2-40B4-BE49-F238E27FC236}">
              <a16:creationId xmlns:a16="http://schemas.microsoft.com/office/drawing/2014/main" id="{4E924203-5354-4F4A-B859-12E1CD9F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7" name="Picture 9" descr="space">
          <a:extLst>
            <a:ext uri="{FF2B5EF4-FFF2-40B4-BE49-F238E27FC236}">
              <a16:creationId xmlns:a16="http://schemas.microsoft.com/office/drawing/2014/main" id="{8AF8D1BC-47FE-48A2-8821-C9EAC7A2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8" name="Picture 10" descr="space">
          <a:extLst>
            <a:ext uri="{FF2B5EF4-FFF2-40B4-BE49-F238E27FC236}">
              <a16:creationId xmlns:a16="http://schemas.microsoft.com/office/drawing/2014/main" id="{6AB11E71-3005-4347-98A1-10C1FD08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292100</xdr:colOff>
      <xdr:row>2</xdr:row>
      <xdr:rowOff>82550</xdr:rowOff>
    </xdr:to>
    <xdr:pic>
      <xdr:nvPicPr>
        <xdr:cNvPr id="12139" name="Picture 11" descr="space">
          <a:extLst>
            <a:ext uri="{FF2B5EF4-FFF2-40B4-BE49-F238E27FC236}">
              <a16:creationId xmlns:a16="http://schemas.microsoft.com/office/drawing/2014/main" id="{15D96F36-B956-4721-9948-F3350461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0" name="Picture 13" descr="space">
          <a:extLst>
            <a:ext uri="{FF2B5EF4-FFF2-40B4-BE49-F238E27FC236}">
              <a16:creationId xmlns:a16="http://schemas.microsoft.com/office/drawing/2014/main" id="{3637E03A-D563-4927-903F-E53B4E6FC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1" name="Picture 14" descr="space">
          <a:extLst>
            <a:ext uri="{FF2B5EF4-FFF2-40B4-BE49-F238E27FC236}">
              <a16:creationId xmlns:a16="http://schemas.microsoft.com/office/drawing/2014/main" id="{1372A034-1AE5-4C67-9581-749F8D93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2" name="Picture 15" descr="space">
          <a:extLst>
            <a:ext uri="{FF2B5EF4-FFF2-40B4-BE49-F238E27FC236}">
              <a16:creationId xmlns:a16="http://schemas.microsoft.com/office/drawing/2014/main" id="{22762447-6535-4EED-9826-1C98953F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3" name="Picture 16" descr="space">
          <a:extLst>
            <a:ext uri="{FF2B5EF4-FFF2-40B4-BE49-F238E27FC236}">
              <a16:creationId xmlns:a16="http://schemas.microsoft.com/office/drawing/2014/main" id="{F143BB1F-C8D3-4DE6-AFB9-C1574D73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4" name="Picture 17" descr="space">
          <a:extLst>
            <a:ext uri="{FF2B5EF4-FFF2-40B4-BE49-F238E27FC236}">
              <a16:creationId xmlns:a16="http://schemas.microsoft.com/office/drawing/2014/main" id="{4CBE2F6E-BBD0-4741-842F-3079D428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5" name="Picture 18" descr="space">
          <a:extLst>
            <a:ext uri="{FF2B5EF4-FFF2-40B4-BE49-F238E27FC236}">
              <a16:creationId xmlns:a16="http://schemas.microsoft.com/office/drawing/2014/main" id="{946D3CBB-00F7-4B0E-92C0-85B26FF1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6" name="Picture 19" descr="space">
          <a:extLst>
            <a:ext uri="{FF2B5EF4-FFF2-40B4-BE49-F238E27FC236}">
              <a16:creationId xmlns:a16="http://schemas.microsoft.com/office/drawing/2014/main" id="{27BF7502-F3AF-4FD9-A74F-29E750C2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7" name="Picture 20" descr="space">
          <a:extLst>
            <a:ext uri="{FF2B5EF4-FFF2-40B4-BE49-F238E27FC236}">
              <a16:creationId xmlns:a16="http://schemas.microsoft.com/office/drawing/2014/main" id="{3DCE2FBD-D85A-4F53-ABEE-C29B11B5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8" name="Picture 21" descr="space">
          <a:extLst>
            <a:ext uri="{FF2B5EF4-FFF2-40B4-BE49-F238E27FC236}">
              <a16:creationId xmlns:a16="http://schemas.microsoft.com/office/drawing/2014/main" id="{31016F92-4670-4461-B1D8-A8DAB1B8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9" name="Picture 22" descr="space">
          <a:extLst>
            <a:ext uri="{FF2B5EF4-FFF2-40B4-BE49-F238E27FC236}">
              <a16:creationId xmlns:a16="http://schemas.microsoft.com/office/drawing/2014/main" id="{A207BF60-2DEE-4F5B-BA5E-E6D51848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292100</xdr:colOff>
      <xdr:row>2</xdr:row>
      <xdr:rowOff>82550</xdr:rowOff>
    </xdr:to>
    <xdr:pic>
      <xdr:nvPicPr>
        <xdr:cNvPr id="12150" name="Picture 23" descr="space">
          <a:extLst>
            <a:ext uri="{FF2B5EF4-FFF2-40B4-BE49-F238E27FC236}">
              <a16:creationId xmlns:a16="http://schemas.microsoft.com/office/drawing/2014/main" id="{CBBDC3DF-C436-4777-B5F6-C608ED40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1" name="Picture 1" descr="space">
          <a:extLst>
            <a:ext uri="{FF2B5EF4-FFF2-40B4-BE49-F238E27FC236}">
              <a16:creationId xmlns:a16="http://schemas.microsoft.com/office/drawing/2014/main" id="{3F257625-1DF2-4843-B3E0-08FB3842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2" name="Picture 2" descr="space">
          <a:extLst>
            <a:ext uri="{FF2B5EF4-FFF2-40B4-BE49-F238E27FC236}">
              <a16:creationId xmlns:a16="http://schemas.microsoft.com/office/drawing/2014/main" id="{35E2D99F-3D7F-488A-B88A-1806FC60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3" name="Picture 3" descr="space">
          <a:extLst>
            <a:ext uri="{FF2B5EF4-FFF2-40B4-BE49-F238E27FC236}">
              <a16:creationId xmlns:a16="http://schemas.microsoft.com/office/drawing/2014/main" id="{9F7218CF-8721-4001-A568-68C283A7A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4" name="Picture 4" descr="space">
          <a:extLst>
            <a:ext uri="{FF2B5EF4-FFF2-40B4-BE49-F238E27FC236}">
              <a16:creationId xmlns:a16="http://schemas.microsoft.com/office/drawing/2014/main" id="{706B851A-034F-415A-8E1B-6BCFD5D8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5" name="Picture 5" descr="space">
          <a:extLst>
            <a:ext uri="{FF2B5EF4-FFF2-40B4-BE49-F238E27FC236}">
              <a16:creationId xmlns:a16="http://schemas.microsoft.com/office/drawing/2014/main" id="{17F6B4EB-7CAE-4823-98A3-E0518EB7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6" name="Picture 6" descr="space">
          <a:extLst>
            <a:ext uri="{FF2B5EF4-FFF2-40B4-BE49-F238E27FC236}">
              <a16:creationId xmlns:a16="http://schemas.microsoft.com/office/drawing/2014/main" id="{F2A22EA7-77E5-490B-B78D-739D65C9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7" name="Picture 7" descr="space">
          <a:extLst>
            <a:ext uri="{FF2B5EF4-FFF2-40B4-BE49-F238E27FC236}">
              <a16:creationId xmlns:a16="http://schemas.microsoft.com/office/drawing/2014/main" id="{D7F41509-1E2E-4304-B772-8A3E5476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8" name="Picture 8" descr="space">
          <a:extLst>
            <a:ext uri="{FF2B5EF4-FFF2-40B4-BE49-F238E27FC236}">
              <a16:creationId xmlns:a16="http://schemas.microsoft.com/office/drawing/2014/main" id="{91942B08-A524-4957-95A9-29787A20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9" name="Picture 9" descr="space">
          <a:extLst>
            <a:ext uri="{FF2B5EF4-FFF2-40B4-BE49-F238E27FC236}">
              <a16:creationId xmlns:a16="http://schemas.microsoft.com/office/drawing/2014/main" id="{ED4179A7-C839-4906-A342-1F414442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0" name="Picture 10" descr="space">
          <a:extLst>
            <a:ext uri="{FF2B5EF4-FFF2-40B4-BE49-F238E27FC236}">
              <a16:creationId xmlns:a16="http://schemas.microsoft.com/office/drawing/2014/main" id="{06393B2A-06EE-442F-BC07-F862AF44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2161" name="Picture 11" descr="space">
          <a:extLst>
            <a:ext uri="{FF2B5EF4-FFF2-40B4-BE49-F238E27FC236}">
              <a16:creationId xmlns:a16="http://schemas.microsoft.com/office/drawing/2014/main" id="{6808203D-A450-42DF-A4CF-65702B6C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2" name="Picture 13" descr="space">
          <a:extLst>
            <a:ext uri="{FF2B5EF4-FFF2-40B4-BE49-F238E27FC236}">
              <a16:creationId xmlns:a16="http://schemas.microsoft.com/office/drawing/2014/main" id="{642D8867-62D2-4916-BEAF-A008A2C6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3" name="Picture 14" descr="space">
          <a:extLst>
            <a:ext uri="{FF2B5EF4-FFF2-40B4-BE49-F238E27FC236}">
              <a16:creationId xmlns:a16="http://schemas.microsoft.com/office/drawing/2014/main" id="{EDA34C78-77D5-469E-BD9F-E45AF45C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4" name="Picture 15" descr="space">
          <a:extLst>
            <a:ext uri="{FF2B5EF4-FFF2-40B4-BE49-F238E27FC236}">
              <a16:creationId xmlns:a16="http://schemas.microsoft.com/office/drawing/2014/main" id="{893C3F4F-E085-4964-AFB6-AFC71099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5" name="Picture 16" descr="space">
          <a:extLst>
            <a:ext uri="{FF2B5EF4-FFF2-40B4-BE49-F238E27FC236}">
              <a16:creationId xmlns:a16="http://schemas.microsoft.com/office/drawing/2014/main" id="{F32EC9A0-DBE9-4641-BF88-3AAD4AB7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6" name="Picture 17" descr="space">
          <a:extLst>
            <a:ext uri="{FF2B5EF4-FFF2-40B4-BE49-F238E27FC236}">
              <a16:creationId xmlns:a16="http://schemas.microsoft.com/office/drawing/2014/main" id="{936FF288-247D-41AA-89F4-13149AD9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7" name="Picture 18" descr="space">
          <a:extLst>
            <a:ext uri="{FF2B5EF4-FFF2-40B4-BE49-F238E27FC236}">
              <a16:creationId xmlns:a16="http://schemas.microsoft.com/office/drawing/2014/main" id="{6AFF42C7-F2CC-417D-9766-42F918CF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8" name="Picture 19" descr="space">
          <a:extLst>
            <a:ext uri="{FF2B5EF4-FFF2-40B4-BE49-F238E27FC236}">
              <a16:creationId xmlns:a16="http://schemas.microsoft.com/office/drawing/2014/main" id="{C43A6144-4EDC-426E-ADA4-5207700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9" name="Picture 20" descr="space">
          <a:extLst>
            <a:ext uri="{FF2B5EF4-FFF2-40B4-BE49-F238E27FC236}">
              <a16:creationId xmlns:a16="http://schemas.microsoft.com/office/drawing/2014/main" id="{E367B0CD-F46E-4F77-A939-7AFCCF33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70" name="Picture 21" descr="space">
          <a:extLst>
            <a:ext uri="{FF2B5EF4-FFF2-40B4-BE49-F238E27FC236}">
              <a16:creationId xmlns:a16="http://schemas.microsoft.com/office/drawing/2014/main" id="{2010C9C8-5A45-4B95-A480-87CAD320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71" name="Picture 22" descr="space">
          <a:extLst>
            <a:ext uri="{FF2B5EF4-FFF2-40B4-BE49-F238E27FC236}">
              <a16:creationId xmlns:a16="http://schemas.microsoft.com/office/drawing/2014/main" id="{7430E83B-AED8-4523-BAAA-445F5598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2172" name="Picture 23" descr="space">
          <a:extLst>
            <a:ext uri="{FF2B5EF4-FFF2-40B4-BE49-F238E27FC236}">
              <a16:creationId xmlns:a16="http://schemas.microsoft.com/office/drawing/2014/main" id="{AF192C31-2F29-44A9-9439-E4CEFAC5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N65"/>
  <sheetViews>
    <sheetView showZeros="0" tabSelected="1" showOutlineSymbols="0" zoomScaleNormal="100" workbookViewId="0">
      <selection activeCell="M11" sqref="M11"/>
    </sheetView>
  </sheetViews>
  <sheetFormatPr defaultColWidth="9.140625" defaultRowHeight="15" x14ac:dyDescent="0.2"/>
  <cols>
    <col min="1" max="1" width="2.5703125" style="4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3" style="2" customWidth="1"/>
    <col min="8" max="8" width="12.28515625" style="2" customWidth="1"/>
    <col min="9" max="9" width="9.42578125" style="2" customWidth="1"/>
    <col min="10" max="10" width="8.85546875" style="3" customWidth="1"/>
    <col min="11" max="11" width="11.140625" style="3" customWidth="1"/>
    <col min="12" max="13" width="9.140625" style="2"/>
    <col min="14" max="14" width="12.85546875" style="26" bestFit="1" customWidth="1"/>
    <col min="15" max="16384" width="9.140625" style="2"/>
  </cols>
  <sheetData>
    <row r="1" spans="1:14" s="1" customFormat="1" ht="45.75" customHeight="1" thickBot="1" x14ac:dyDescent="0.3">
      <c r="A1" s="233" t="s">
        <v>107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N1" s="25"/>
    </row>
    <row r="2" spans="1:14" s="199" customFormat="1" ht="18.75" customHeight="1" thickBot="1" x14ac:dyDescent="0.3">
      <c r="A2" s="239" t="s">
        <v>9</v>
      </c>
      <c r="B2" s="240"/>
      <c r="C2" s="241"/>
      <c r="D2" s="241"/>
      <c r="E2" s="241"/>
      <c r="F2" s="241"/>
      <c r="G2" s="241"/>
      <c r="H2" s="198"/>
      <c r="I2" s="197" t="s">
        <v>2</v>
      </c>
      <c r="J2" s="242"/>
      <c r="K2" s="243"/>
      <c r="N2" s="200"/>
    </row>
    <row r="3" spans="1:14" s="13" customFormat="1" ht="13.5" thickBot="1" x14ac:dyDescent="0.25">
      <c r="A3" s="236" t="s">
        <v>54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  <c r="N3" s="93"/>
    </row>
    <row r="4" spans="1:14" ht="15.75" thickBot="1" x14ac:dyDescent="0.25">
      <c r="A4" s="61" t="s">
        <v>37</v>
      </c>
      <c r="B4" s="62"/>
      <c r="C4" s="62"/>
      <c r="D4" s="62"/>
      <c r="E4" s="62"/>
      <c r="F4" s="62"/>
      <c r="G4" s="63"/>
      <c r="H4" s="64"/>
      <c r="I4" s="64"/>
      <c r="J4" s="65">
        <v>100</v>
      </c>
      <c r="K4" s="66"/>
    </row>
    <row r="5" spans="1:14" ht="9" customHeight="1" thickBot="1" x14ac:dyDescent="0.25">
      <c r="A5" s="60"/>
      <c r="B5" s="60"/>
      <c r="C5" s="60"/>
      <c r="D5" s="60"/>
      <c r="E5" s="60"/>
      <c r="F5" s="60"/>
      <c r="H5" s="11"/>
      <c r="I5" s="11"/>
      <c r="J5" s="11"/>
      <c r="K5" s="53"/>
    </row>
    <row r="6" spans="1:14" ht="15.75" thickBot="1" x14ac:dyDescent="0.25">
      <c r="A6" s="89" t="s">
        <v>23</v>
      </c>
      <c r="B6" s="90"/>
      <c r="C6" s="90"/>
      <c r="D6" s="90"/>
      <c r="E6" s="90"/>
      <c r="F6" s="90"/>
      <c r="G6" s="91"/>
      <c r="H6" s="91"/>
      <c r="I6" s="91"/>
      <c r="J6" s="91"/>
      <c r="K6" s="92"/>
    </row>
    <row r="7" spans="1:14" ht="15.75" thickTop="1" x14ac:dyDescent="0.2">
      <c r="A7" s="67" t="s">
        <v>24</v>
      </c>
      <c r="B7" s="41"/>
      <c r="C7" s="41"/>
      <c r="D7" s="41"/>
      <c r="E7" s="41"/>
      <c r="F7" s="41"/>
      <c r="G7" s="11"/>
      <c r="H7" s="11"/>
      <c r="I7" s="11"/>
      <c r="J7" s="11"/>
      <c r="K7" s="68"/>
    </row>
    <row r="8" spans="1:14" x14ac:dyDescent="0.2">
      <c r="A8" s="67" t="s">
        <v>25</v>
      </c>
      <c r="B8" s="41"/>
      <c r="C8" s="41"/>
      <c r="D8" s="41"/>
      <c r="E8" s="41"/>
      <c r="F8" s="41"/>
      <c r="G8" s="11"/>
      <c r="H8" s="11"/>
      <c r="I8" s="11"/>
      <c r="J8" s="11"/>
      <c r="K8" s="68"/>
      <c r="N8" s="88"/>
    </row>
    <row r="9" spans="1:14" x14ac:dyDescent="0.2">
      <c r="A9" s="67" t="s">
        <v>26</v>
      </c>
      <c r="B9" s="41"/>
      <c r="C9" s="41"/>
      <c r="D9" s="41"/>
      <c r="E9" s="41"/>
      <c r="F9" s="41"/>
      <c r="G9" s="11"/>
      <c r="H9" s="11"/>
      <c r="I9" s="11"/>
      <c r="J9" s="11"/>
      <c r="K9" s="68"/>
    </row>
    <row r="10" spans="1:14" ht="15.75" thickBot="1" x14ac:dyDescent="0.25">
      <c r="A10" s="69" t="s">
        <v>27</v>
      </c>
      <c r="B10" s="70"/>
      <c r="C10" s="70"/>
      <c r="D10" s="70"/>
      <c r="E10" s="70"/>
      <c r="F10" s="70"/>
      <c r="G10" s="71"/>
      <c r="H10" s="71"/>
      <c r="I10" s="71"/>
      <c r="J10" s="71"/>
      <c r="K10" s="72"/>
    </row>
    <row r="11" spans="1:14" ht="9" customHeight="1" thickBot="1" x14ac:dyDescent="0.25">
      <c r="A11" s="54"/>
      <c r="B11" s="41"/>
      <c r="C11" s="41"/>
      <c r="D11" s="41"/>
      <c r="E11" s="41"/>
      <c r="F11" s="41"/>
      <c r="G11" s="11"/>
      <c r="H11" s="11"/>
      <c r="I11" s="11"/>
      <c r="J11" s="11"/>
      <c r="K11" s="53"/>
    </row>
    <row r="12" spans="1:14" ht="15.75" thickBot="1" x14ac:dyDescent="0.25">
      <c r="A12" s="27" t="s">
        <v>32</v>
      </c>
      <c r="B12" s="28"/>
      <c r="C12" s="28"/>
      <c r="D12" s="28"/>
      <c r="E12" s="29"/>
      <c r="F12" s="28"/>
      <c r="G12" s="30"/>
      <c r="H12" s="31"/>
      <c r="I12" s="58"/>
      <c r="J12" s="32" t="s">
        <v>0</v>
      </c>
      <c r="K12" s="33" t="s">
        <v>1</v>
      </c>
    </row>
    <row r="13" spans="1:14" ht="15.75" thickTop="1" x14ac:dyDescent="0.2">
      <c r="A13" s="85" t="s">
        <v>28</v>
      </c>
      <c r="B13" s="232" t="s">
        <v>34</v>
      </c>
      <c r="C13" s="232"/>
      <c r="D13" s="232"/>
      <c r="E13" s="232"/>
      <c r="F13" s="55"/>
      <c r="G13" s="55"/>
      <c r="H13" s="56" t="s">
        <v>33</v>
      </c>
      <c r="I13" s="52"/>
      <c r="J13" s="47">
        <f>+K13*12</f>
        <v>0</v>
      </c>
      <c r="K13" s="34">
        <f>(IF(I13=1,'Ark3'!H8,IF(I13=2,'Ark3'!H12,IF(I13=3,'Ark3'!H16,IF(I13=4,'Ark3'!H17,)))))*J4/100</f>
        <v>0</v>
      </c>
    </row>
    <row r="14" spans="1:14" x14ac:dyDescent="0.2">
      <c r="A14" s="85" t="s">
        <v>29</v>
      </c>
      <c r="B14" s="54" t="s">
        <v>35</v>
      </c>
      <c r="C14" s="54"/>
      <c r="D14" s="54"/>
      <c r="E14" s="54"/>
      <c r="F14" s="59"/>
      <c r="G14" s="57"/>
      <c r="H14" s="56" t="s">
        <v>51</v>
      </c>
      <c r="I14" s="81"/>
      <c r="J14" s="49">
        <f>+K14*12</f>
        <v>0</v>
      </c>
      <c r="K14" s="36">
        <f>(IF(I14=4,'Ark3'!H20))*J4/100</f>
        <v>0</v>
      </c>
    </row>
    <row r="15" spans="1:14" x14ac:dyDescent="0.2">
      <c r="A15" s="85" t="s">
        <v>30</v>
      </c>
      <c r="B15" s="232" t="s">
        <v>36</v>
      </c>
      <c r="C15" s="232"/>
      <c r="D15" s="232"/>
      <c r="E15" s="232"/>
      <c r="F15" s="13"/>
      <c r="G15" s="13"/>
      <c r="H15" s="56" t="s">
        <v>33</v>
      </c>
      <c r="I15" s="81"/>
      <c r="J15" s="49">
        <f>+K15*12</f>
        <v>0</v>
      </c>
      <c r="K15" s="36">
        <f>(IF(I15=1,'Ark3'!E5,IF(I15=2,'Ark3'!E8,IF(I15=3,'Ark3'!E10,IF(I15=4,'Ark3'!E14)))))*J4/100</f>
        <v>0</v>
      </c>
    </row>
    <row r="16" spans="1:14" x14ac:dyDescent="0.2">
      <c r="A16" s="85" t="s">
        <v>31</v>
      </c>
      <c r="B16" s="253" t="s">
        <v>7</v>
      </c>
      <c r="C16" s="253"/>
      <c r="D16" s="253"/>
      <c r="E16" s="253"/>
      <c r="F16" s="17"/>
      <c r="G16" s="17"/>
      <c r="H16" s="56" t="s">
        <v>51</v>
      </c>
      <c r="I16" s="81"/>
      <c r="J16" s="49">
        <f>+K16*12</f>
        <v>0</v>
      </c>
      <c r="K16" s="36">
        <f>(IF(I16=4,'Ark3'!E15))*J4/100</f>
        <v>0</v>
      </c>
    </row>
    <row r="17" spans="1:14" ht="18.75" customHeight="1" thickBot="1" x14ac:dyDescent="0.25">
      <c r="A17" s="43" t="s">
        <v>21</v>
      </c>
      <c r="B17" s="44"/>
      <c r="C17" s="45"/>
      <c r="D17" s="45"/>
      <c r="E17" s="45"/>
      <c r="F17" s="45"/>
      <c r="G17" s="45"/>
      <c r="H17" s="46" t="s">
        <v>17</v>
      </c>
      <c r="I17" s="15" t="s">
        <v>14</v>
      </c>
      <c r="J17" s="48" t="s">
        <v>0</v>
      </c>
      <c r="K17" s="38" t="s">
        <v>1</v>
      </c>
    </row>
    <row r="18" spans="1:14" ht="15.75" thickTop="1" x14ac:dyDescent="0.2">
      <c r="A18" s="35"/>
      <c r="B18" s="107" t="s">
        <v>71</v>
      </c>
      <c r="C18" s="13"/>
      <c r="D18" s="13"/>
      <c r="E18" s="13"/>
      <c r="F18" s="13"/>
      <c r="G18" s="21"/>
      <c r="H18" s="42"/>
      <c r="I18" s="19">
        <f>+'Ark2'!C6</f>
        <v>148.80402000000001</v>
      </c>
      <c r="J18" s="47">
        <f t="shared" ref="J18:J23" si="0">+I18*H18</f>
        <v>0</v>
      </c>
      <c r="K18" s="34">
        <f t="shared" ref="K18:K24" si="1">+J18/12</f>
        <v>0</v>
      </c>
    </row>
    <row r="19" spans="1:14" x14ac:dyDescent="0.2">
      <c r="A19" s="35"/>
      <c r="B19" s="13" t="s">
        <v>72</v>
      </c>
      <c r="C19" s="13"/>
      <c r="D19" s="13"/>
      <c r="E19" s="13"/>
      <c r="F19" s="13"/>
      <c r="G19" s="21"/>
      <c r="H19" s="42"/>
      <c r="I19" s="19">
        <f>+'Ark2'!C9</f>
        <v>53.619048540000001</v>
      </c>
      <c r="J19" s="47">
        <f t="shared" si="0"/>
        <v>0</v>
      </c>
      <c r="K19" s="34">
        <f t="shared" si="1"/>
        <v>0</v>
      </c>
    </row>
    <row r="20" spans="1:14" x14ac:dyDescent="0.2">
      <c r="A20" s="35"/>
      <c r="B20" s="13" t="s">
        <v>18</v>
      </c>
      <c r="C20" s="13"/>
      <c r="D20" s="13"/>
      <c r="E20" s="13"/>
      <c r="F20" s="13"/>
      <c r="G20" s="21"/>
      <c r="H20" s="23"/>
      <c r="I20" s="19">
        <f>+'Ark2'!C10</f>
        <v>24.80067</v>
      </c>
      <c r="J20" s="47">
        <f t="shared" si="0"/>
        <v>0</v>
      </c>
      <c r="K20" s="34">
        <f t="shared" si="1"/>
        <v>0</v>
      </c>
    </row>
    <row r="21" spans="1:14" x14ac:dyDescent="0.2">
      <c r="A21" s="35"/>
      <c r="B21" s="13" t="s">
        <v>12</v>
      </c>
      <c r="C21" s="13"/>
      <c r="D21" s="13"/>
      <c r="E21" s="13"/>
      <c r="F21" s="13"/>
      <c r="G21" s="21"/>
      <c r="H21" s="23"/>
      <c r="I21" s="19">
        <f>+'Ark2'!C8</f>
        <v>42.72328752</v>
      </c>
      <c r="J21" s="47">
        <f t="shared" si="0"/>
        <v>0</v>
      </c>
      <c r="K21" s="34">
        <f t="shared" si="1"/>
        <v>0</v>
      </c>
    </row>
    <row r="22" spans="1:14" x14ac:dyDescent="0.2">
      <c r="A22" s="35"/>
      <c r="B22" s="13" t="s">
        <v>11</v>
      </c>
      <c r="C22" s="13"/>
      <c r="D22" s="13"/>
      <c r="E22" s="13"/>
      <c r="F22" s="13"/>
      <c r="G22" s="21"/>
      <c r="H22" s="22"/>
      <c r="I22" s="19">
        <f>+'Ark2'!C8</f>
        <v>42.72328752</v>
      </c>
      <c r="J22" s="47">
        <f t="shared" si="0"/>
        <v>0</v>
      </c>
      <c r="K22" s="34">
        <f t="shared" si="1"/>
        <v>0</v>
      </c>
    </row>
    <row r="23" spans="1:14" x14ac:dyDescent="0.2">
      <c r="A23" s="201" t="s">
        <v>59</v>
      </c>
      <c r="B23" s="202"/>
      <c r="C23" s="17"/>
      <c r="D23" s="17"/>
      <c r="E23" s="17"/>
      <c r="F23" s="17"/>
      <c r="G23" s="203"/>
      <c r="H23" s="204"/>
      <c r="I23" s="205">
        <f>+'Ark2'!C18</f>
        <v>31.281911760000003</v>
      </c>
      <c r="J23" s="206">
        <f t="shared" si="0"/>
        <v>0</v>
      </c>
      <c r="K23" s="37">
        <f t="shared" si="1"/>
        <v>0</v>
      </c>
    </row>
    <row r="24" spans="1:14" ht="15.75" customHeight="1" thickBot="1" x14ac:dyDescent="0.25">
      <c r="A24" s="39"/>
      <c r="B24" s="86" t="s">
        <v>10</v>
      </c>
      <c r="C24" s="86"/>
      <c r="D24" s="86"/>
      <c r="E24" s="247" t="s">
        <v>41</v>
      </c>
      <c r="F24" s="248"/>
      <c r="G24" s="249"/>
      <c r="H24" s="186"/>
      <c r="I24" s="87">
        <f>+'Ark2'!C17</f>
        <v>25462.021199999999</v>
      </c>
      <c r="J24" s="50">
        <f>+H24*I24</f>
        <v>0</v>
      </c>
      <c r="K24" s="40">
        <f t="shared" si="1"/>
        <v>0</v>
      </c>
    </row>
    <row r="25" spans="1:14" ht="12" customHeight="1" thickBot="1" x14ac:dyDescent="0.25">
      <c r="A25" s="11"/>
      <c r="B25" s="13"/>
      <c r="C25" s="13"/>
      <c r="D25" s="13"/>
      <c r="E25" s="13"/>
      <c r="F25" s="13"/>
      <c r="G25" s="13"/>
      <c r="H25" s="11"/>
      <c r="I25" s="12"/>
      <c r="J25" s="83"/>
      <c r="K25" s="14"/>
      <c r="N25" s="84"/>
    </row>
    <row r="26" spans="1:14" ht="15.75" thickBot="1" x14ac:dyDescent="0.25">
      <c r="A26" s="152" t="s">
        <v>75</v>
      </c>
      <c r="B26" s="94"/>
      <c r="C26" s="153"/>
      <c r="D26" s="154"/>
      <c r="E26" s="154"/>
      <c r="F26" s="154"/>
      <c r="G26" s="154"/>
      <c r="H26" s="155"/>
      <c r="I26" s="156" t="s">
        <v>14</v>
      </c>
      <c r="J26" s="182" t="s">
        <v>0</v>
      </c>
      <c r="K26" s="33" t="s">
        <v>1</v>
      </c>
    </row>
    <row r="27" spans="1:14" s="115" customFormat="1" ht="13.5" thickTop="1" x14ac:dyDescent="0.2">
      <c r="A27" s="157" t="s">
        <v>28</v>
      </c>
      <c r="B27" s="209" t="s">
        <v>88</v>
      </c>
      <c r="C27" s="123"/>
      <c r="D27" s="123"/>
      <c r="E27" s="123"/>
      <c r="F27" s="123"/>
      <c r="G27" s="123"/>
      <c r="H27" s="146" t="s">
        <v>40</v>
      </c>
      <c r="I27" s="124"/>
      <c r="J27" s="125"/>
      <c r="K27" s="126"/>
      <c r="N27" s="116"/>
    </row>
    <row r="28" spans="1:14" s="115" customFormat="1" ht="12.75" x14ac:dyDescent="0.2">
      <c r="A28" s="85"/>
      <c r="B28" s="13" t="s">
        <v>89</v>
      </c>
      <c r="H28" s="119"/>
      <c r="I28" s="127">
        <f>+'Ark2'!C11</f>
        <v>22547.115785999998</v>
      </c>
      <c r="J28" s="128">
        <f>+H28*I28/100</f>
        <v>0</v>
      </c>
      <c r="K28" s="122">
        <f>+J28/12</f>
        <v>0</v>
      </c>
      <c r="N28" s="116"/>
    </row>
    <row r="29" spans="1:14" s="115" customFormat="1" ht="12.75" x14ac:dyDescent="0.2">
      <c r="A29" s="85"/>
      <c r="B29" s="209" t="s">
        <v>101</v>
      </c>
      <c r="C29" s="123"/>
      <c r="D29" s="123"/>
      <c r="E29" s="123"/>
      <c r="F29" s="123"/>
      <c r="G29" s="123"/>
      <c r="H29" s="146" t="s">
        <v>40</v>
      </c>
      <c r="I29" s="124"/>
      <c r="J29" s="125"/>
      <c r="K29" s="126"/>
      <c r="N29" s="116"/>
    </row>
    <row r="30" spans="1:14" s="115" customFormat="1" ht="12.75" x14ac:dyDescent="0.2">
      <c r="A30" s="85"/>
      <c r="B30" s="13" t="s">
        <v>102</v>
      </c>
      <c r="H30" s="119"/>
      <c r="I30" s="127">
        <f>+'Ark2'!C4</f>
        <v>18593.888987999999</v>
      </c>
      <c r="J30" s="128">
        <f>+H30*I30/100</f>
        <v>0</v>
      </c>
      <c r="K30" s="122">
        <f>+J30/12</f>
        <v>0</v>
      </c>
      <c r="N30" s="116"/>
    </row>
    <row r="31" spans="1:14" s="115" customFormat="1" ht="12.75" x14ac:dyDescent="0.2">
      <c r="A31" s="148" t="s">
        <v>29</v>
      </c>
      <c r="B31" s="149" t="s">
        <v>90</v>
      </c>
      <c r="C31" s="144"/>
      <c r="D31" s="144"/>
      <c r="E31" s="144"/>
      <c r="F31" s="144"/>
      <c r="G31" s="145"/>
      <c r="H31" s="103" t="str">
        <f>+H27</f>
        <v>Beskæft. grad</v>
      </c>
      <c r="I31" s="112"/>
      <c r="J31" s="113"/>
      <c r="K31" s="114"/>
      <c r="N31" s="116"/>
    </row>
    <row r="32" spans="1:14" s="115" customFormat="1" ht="12.75" x14ac:dyDescent="0.2">
      <c r="A32" s="129"/>
      <c r="B32" s="13" t="s">
        <v>91</v>
      </c>
      <c r="H32" s="119"/>
      <c r="I32" s="120">
        <f>+'Ark2'!C12</f>
        <v>20306.788595999999</v>
      </c>
      <c r="J32" s="121">
        <f>+I32*H32/100</f>
        <v>0</v>
      </c>
      <c r="K32" s="122">
        <f>+J32/12</f>
        <v>0</v>
      </c>
      <c r="N32" s="116"/>
    </row>
    <row r="33" spans="1:14" s="115" customFormat="1" ht="12.75" x14ac:dyDescent="0.2">
      <c r="A33" s="129"/>
      <c r="B33" s="149" t="s">
        <v>103</v>
      </c>
      <c r="C33" s="144"/>
      <c r="D33" s="144"/>
      <c r="E33" s="144"/>
      <c r="F33" s="144"/>
      <c r="G33" s="145"/>
      <c r="H33" s="103" t="str">
        <f>+H29</f>
        <v>Beskæft. grad</v>
      </c>
      <c r="I33" s="112"/>
      <c r="J33" s="113"/>
      <c r="K33" s="114"/>
      <c r="N33" s="116"/>
    </row>
    <row r="34" spans="1:14" s="115" customFormat="1" ht="12.75" x14ac:dyDescent="0.2">
      <c r="A34" s="129"/>
      <c r="B34" s="13" t="s">
        <v>104</v>
      </c>
      <c r="H34" s="119"/>
      <c r="I34" s="120">
        <f>+'Ark2'!C5</f>
        <v>16353.561798000001</v>
      </c>
      <c r="J34" s="121">
        <f>+I34*H34/100</f>
        <v>0</v>
      </c>
      <c r="K34" s="122">
        <f>+J34/12</f>
        <v>0</v>
      </c>
      <c r="N34" s="116"/>
    </row>
    <row r="35" spans="1:14" s="115" customFormat="1" ht="12.75" x14ac:dyDescent="0.2">
      <c r="A35" s="148" t="s">
        <v>30</v>
      </c>
      <c r="B35" s="250" t="s">
        <v>96</v>
      </c>
      <c r="C35" s="251"/>
      <c r="D35" s="251"/>
      <c r="E35" s="251"/>
      <c r="F35" s="251"/>
      <c r="G35" s="252"/>
      <c r="H35" s="20" t="str">
        <f>+H27</f>
        <v>Beskæft. grad</v>
      </c>
      <c r="I35" s="130"/>
      <c r="J35" s="131"/>
      <c r="K35" s="132"/>
      <c r="N35" s="116"/>
    </row>
    <row r="36" spans="1:14" s="115" customFormat="1" ht="12.75" x14ac:dyDescent="0.2">
      <c r="A36" s="133"/>
      <c r="B36" s="17" t="s">
        <v>92</v>
      </c>
      <c r="C36" s="118"/>
      <c r="D36" s="118"/>
      <c r="E36" s="118"/>
      <c r="F36" s="118"/>
      <c r="G36" s="134"/>
      <c r="H36" s="135"/>
      <c r="I36" s="120">
        <f>+'Ark2'!C13</f>
        <v>20654.169395999998</v>
      </c>
      <c r="J36" s="121">
        <f>+H36*I36/100</f>
        <v>0</v>
      </c>
      <c r="K36" s="122">
        <f>+J36/12</f>
        <v>0</v>
      </c>
      <c r="N36" s="116"/>
    </row>
    <row r="37" spans="1:14" s="115" customFormat="1" ht="12.75" x14ac:dyDescent="0.2">
      <c r="A37" s="148" t="s">
        <v>31</v>
      </c>
      <c r="B37" s="250" t="s">
        <v>97</v>
      </c>
      <c r="C37" s="251"/>
      <c r="D37" s="251"/>
      <c r="E37" s="251"/>
      <c r="F37" s="251"/>
      <c r="G37" s="252"/>
      <c r="H37" s="146" t="str">
        <f>+H27</f>
        <v>Beskæft. grad</v>
      </c>
      <c r="I37" s="112"/>
      <c r="J37" s="113"/>
      <c r="K37" s="114"/>
      <c r="N37" s="116"/>
    </row>
    <row r="38" spans="1:14" s="115" customFormat="1" ht="12.75" x14ac:dyDescent="0.2">
      <c r="A38" s="117"/>
      <c r="B38" s="17" t="s">
        <v>93</v>
      </c>
      <c r="C38" s="118"/>
      <c r="D38" s="118"/>
      <c r="E38" s="118"/>
      <c r="F38" s="118"/>
      <c r="G38" s="118"/>
      <c r="H38" s="119"/>
      <c r="I38" s="120">
        <f>+'Ark2'!C14</f>
        <v>17021.387598000001</v>
      </c>
      <c r="J38" s="121">
        <f>+I38*H38/100</f>
        <v>0</v>
      </c>
      <c r="K38" s="122">
        <f>+J38/12</f>
        <v>0</v>
      </c>
      <c r="N38" s="116"/>
    </row>
    <row r="39" spans="1:14" s="115" customFormat="1" ht="12.75" x14ac:dyDescent="0.2">
      <c r="A39" s="104" t="s">
        <v>47</v>
      </c>
      <c r="B39" s="143" t="s">
        <v>98</v>
      </c>
      <c r="C39" s="110"/>
      <c r="D39" s="110"/>
      <c r="E39" s="110"/>
      <c r="F39" s="110"/>
      <c r="G39" s="111"/>
      <c r="H39" s="146" t="str">
        <f>+H31</f>
        <v>Beskæft. grad</v>
      </c>
      <c r="I39" s="112"/>
      <c r="J39" s="113"/>
      <c r="K39" s="114"/>
      <c r="N39" s="116"/>
    </row>
    <row r="40" spans="1:14" s="115" customFormat="1" ht="12.75" x14ac:dyDescent="0.2">
      <c r="A40" s="117"/>
      <c r="B40" s="17" t="s">
        <v>94</v>
      </c>
      <c r="C40" s="118"/>
      <c r="D40" s="118"/>
      <c r="E40" s="118"/>
      <c r="F40" s="118"/>
      <c r="G40" s="118"/>
      <c r="H40" s="119"/>
      <c r="I40" s="120">
        <f>+'Ark2'!C15</f>
        <v>25797.73835600006</v>
      </c>
      <c r="J40" s="121">
        <f>+I40*H40/100</f>
        <v>0</v>
      </c>
      <c r="K40" s="122">
        <f>+J40/12</f>
        <v>0</v>
      </c>
      <c r="N40" s="116"/>
    </row>
    <row r="41" spans="1:14" s="115" customFormat="1" ht="12.75" x14ac:dyDescent="0.2">
      <c r="A41" s="104" t="s">
        <v>49</v>
      </c>
      <c r="B41" s="143" t="s">
        <v>99</v>
      </c>
      <c r="C41" s="110"/>
      <c r="D41" s="110"/>
      <c r="E41" s="110"/>
      <c r="F41" s="110"/>
      <c r="G41" s="111"/>
      <c r="H41" s="146" t="str">
        <f>+H35</f>
        <v>Beskæft. grad</v>
      </c>
      <c r="I41" s="112"/>
      <c r="J41" s="113"/>
      <c r="K41" s="114"/>
      <c r="N41" s="116"/>
    </row>
    <row r="42" spans="1:14" s="115" customFormat="1" ht="13.5" thickBot="1" x14ac:dyDescent="0.25">
      <c r="A42" s="192"/>
      <c r="B42" s="86" t="s">
        <v>95</v>
      </c>
      <c r="C42" s="193"/>
      <c r="D42" s="193"/>
      <c r="E42" s="193"/>
      <c r="F42" s="193"/>
      <c r="G42" s="193"/>
      <c r="H42" s="194"/>
      <c r="I42" s="189">
        <f>+'Ark2'!C16</f>
        <v>14706.999999999942</v>
      </c>
      <c r="J42" s="190">
        <f>+I42*H42/100</f>
        <v>0</v>
      </c>
      <c r="K42" s="191">
        <f>+J42/12</f>
        <v>0</v>
      </c>
      <c r="N42" s="116"/>
    </row>
    <row r="43" spans="1:14" s="115" customFormat="1" ht="12.75" x14ac:dyDescent="0.2">
      <c r="A43" s="217" t="s">
        <v>56</v>
      </c>
      <c r="B43" s="218" t="s">
        <v>61</v>
      </c>
      <c r="C43" s="218"/>
      <c r="D43" s="218"/>
      <c r="E43" s="218"/>
      <c r="F43" s="218"/>
      <c r="G43" s="219"/>
      <c r="H43" s="220" t="s">
        <v>41</v>
      </c>
      <c r="I43" s="221"/>
      <c r="J43" s="222"/>
      <c r="K43" s="223"/>
      <c r="N43" s="116"/>
    </row>
    <row r="44" spans="1:14" s="115" customFormat="1" ht="12.75" x14ac:dyDescent="0.2">
      <c r="A44" s="165"/>
      <c r="B44" s="17" t="s">
        <v>60</v>
      </c>
      <c r="C44" s="17"/>
      <c r="D44" s="17"/>
      <c r="E44" s="17"/>
      <c r="F44" s="17"/>
      <c r="G44" s="17"/>
      <c r="H44" s="147"/>
      <c r="I44" s="166">
        <f>+'Ark2'!C22</f>
        <v>18517.833600000002</v>
      </c>
      <c r="J44" s="167">
        <f>+I44*H44</f>
        <v>0</v>
      </c>
      <c r="K44" s="34">
        <f>+J44/12</f>
        <v>0</v>
      </c>
      <c r="N44" s="116"/>
    </row>
    <row r="45" spans="1:14" s="115" customFormat="1" ht="12.75" x14ac:dyDescent="0.2">
      <c r="A45" s="148" t="s">
        <v>63</v>
      </c>
      <c r="B45" s="149" t="s">
        <v>53</v>
      </c>
      <c r="C45" s="149"/>
      <c r="D45" s="149"/>
      <c r="E45" s="149"/>
      <c r="F45" s="149"/>
      <c r="G45" s="150"/>
      <c r="H45" s="168" t="s">
        <v>41</v>
      </c>
      <c r="I45" s="169"/>
      <c r="K45" s="36"/>
      <c r="N45" s="116"/>
    </row>
    <row r="46" spans="1:14" s="115" customFormat="1" ht="12.75" x14ac:dyDescent="0.2">
      <c r="A46" s="165"/>
      <c r="B46" s="17" t="s">
        <v>76</v>
      </c>
      <c r="C46" s="17"/>
      <c r="D46" s="17"/>
      <c r="E46" s="17"/>
      <c r="F46" s="17"/>
      <c r="G46" s="17"/>
      <c r="H46" s="147"/>
      <c r="I46" s="166">
        <f>+'Ark2'!C23</f>
        <v>14880.402</v>
      </c>
      <c r="J46" s="167">
        <f>+I46*H46</f>
        <v>0</v>
      </c>
      <c r="K46" s="37">
        <f t="shared" ref="K46:K54" si="2">+J46/12</f>
        <v>0</v>
      </c>
      <c r="N46" s="116"/>
    </row>
    <row r="47" spans="1:14" s="115" customFormat="1" ht="12.75" x14ac:dyDescent="0.2">
      <c r="A47" s="148" t="s">
        <v>64</v>
      </c>
      <c r="B47" s="149" t="s">
        <v>69</v>
      </c>
      <c r="C47" s="149"/>
      <c r="D47" s="149"/>
      <c r="E47" s="149"/>
      <c r="F47" s="149"/>
      <c r="G47" s="150"/>
      <c r="H47" s="168" t="s">
        <v>41</v>
      </c>
      <c r="I47" s="169"/>
      <c r="J47" s="170"/>
      <c r="K47" s="36">
        <f t="shared" si="2"/>
        <v>0</v>
      </c>
      <c r="N47" s="116"/>
    </row>
    <row r="48" spans="1:14" s="115" customFormat="1" ht="12.75" x14ac:dyDescent="0.2">
      <c r="A48" s="165"/>
      <c r="B48" s="17" t="s">
        <v>77</v>
      </c>
      <c r="C48" s="17"/>
      <c r="D48" s="17"/>
      <c r="E48" s="17"/>
      <c r="F48" s="17"/>
      <c r="G48" s="17"/>
      <c r="H48" s="147"/>
      <c r="I48" s="166">
        <f>+'Ark2'!C24</f>
        <v>8266.89</v>
      </c>
      <c r="J48" s="151">
        <f>+I48*H48</f>
        <v>0</v>
      </c>
      <c r="K48" s="37">
        <f t="shared" si="2"/>
        <v>0</v>
      </c>
      <c r="N48" s="116"/>
    </row>
    <row r="49" spans="1:14" s="13" customFormat="1" ht="14.25" customHeight="1" x14ac:dyDescent="0.2">
      <c r="A49" s="195" t="s">
        <v>65</v>
      </c>
      <c r="B49" s="175" t="s">
        <v>55</v>
      </c>
      <c r="C49" s="141"/>
      <c r="D49" s="141"/>
      <c r="E49" s="141"/>
      <c r="F49" s="141"/>
      <c r="G49" s="142"/>
      <c r="H49" s="138" t="s">
        <v>50</v>
      </c>
      <c r="I49" s="183"/>
      <c r="J49" s="139"/>
      <c r="K49" s="184">
        <f t="shared" si="2"/>
        <v>0</v>
      </c>
      <c r="N49" s="136"/>
    </row>
    <row r="50" spans="1:14" s="13" customFormat="1" ht="14.25" customHeight="1" x14ac:dyDescent="0.2">
      <c r="A50" s="210"/>
      <c r="B50" s="17" t="s">
        <v>78</v>
      </c>
      <c r="C50" s="17"/>
      <c r="D50" s="17"/>
      <c r="E50" s="211"/>
      <c r="F50" s="212"/>
      <c r="G50" s="211"/>
      <c r="H50" s="213"/>
      <c r="I50" s="214">
        <f>+H50*'Ark2'!C2</f>
        <v>0</v>
      </c>
      <c r="J50" s="215">
        <f>+I50</f>
        <v>0</v>
      </c>
      <c r="K50" s="216">
        <f t="shared" si="2"/>
        <v>0</v>
      </c>
      <c r="N50" s="136"/>
    </row>
    <row r="51" spans="1:14" s="13" customFormat="1" ht="14.25" customHeight="1" x14ac:dyDescent="0.2">
      <c r="A51" s="195" t="s">
        <v>65</v>
      </c>
      <c r="B51" s="175" t="s">
        <v>55</v>
      </c>
      <c r="C51" s="141"/>
      <c r="D51" s="141"/>
      <c r="E51" s="141"/>
      <c r="F51" s="141"/>
      <c r="G51" s="142"/>
      <c r="H51" s="138" t="s">
        <v>50</v>
      </c>
      <c r="I51" s="183"/>
      <c r="J51" s="139"/>
      <c r="K51" s="184">
        <f t="shared" si="2"/>
        <v>0</v>
      </c>
      <c r="N51" s="136"/>
    </row>
    <row r="52" spans="1:14" s="13" customFormat="1" ht="14.25" customHeight="1" x14ac:dyDescent="0.2">
      <c r="A52" s="210"/>
      <c r="B52" s="17" t="s">
        <v>79</v>
      </c>
      <c r="C52" s="17"/>
      <c r="D52" s="17"/>
      <c r="E52" s="211"/>
      <c r="F52" s="212"/>
      <c r="G52" s="211"/>
      <c r="H52" s="213"/>
      <c r="I52" s="214">
        <f>+H52*'Ark2'!C2</f>
        <v>0</v>
      </c>
      <c r="J52" s="215">
        <f>+I52</f>
        <v>0</v>
      </c>
      <c r="K52" s="216">
        <f t="shared" si="2"/>
        <v>0</v>
      </c>
      <c r="N52" s="136"/>
    </row>
    <row r="53" spans="1:14" s="13" customFormat="1" ht="14.25" customHeight="1" x14ac:dyDescent="0.2">
      <c r="A53" s="195" t="s">
        <v>65</v>
      </c>
      <c r="B53" s="175" t="s">
        <v>55</v>
      </c>
      <c r="C53" s="141"/>
      <c r="D53" s="141"/>
      <c r="E53" s="141"/>
      <c r="F53" s="141"/>
      <c r="G53" s="142"/>
      <c r="H53" s="138" t="s">
        <v>50</v>
      </c>
      <c r="I53" s="183"/>
      <c r="J53" s="139"/>
      <c r="K53" s="184">
        <f t="shared" si="2"/>
        <v>0</v>
      </c>
      <c r="N53" s="136"/>
    </row>
    <row r="54" spans="1:14" s="13" customFormat="1" ht="14.25" customHeight="1" thickBot="1" x14ac:dyDescent="0.25">
      <c r="A54" s="185"/>
      <c r="B54" s="86" t="s">
        <v>78</v>
      </c>
      <c r="C54" s="86"/>
      <c r="D54" s="86"/>
      <c r="E54" s="140"/>
      <c r="F54" s="137"/>
      <c r="G54" s="140"/>
      <c r="H54" s="213"/>
      <c r="I54" s="214">
        <f>+H54*'Ark2'!C2</f>
        <v>0</v>
      </c>
      <c r="J54" s="215">
        <f>+I54</f>
        <v>0</v>
      </c>
      <c r="K54" s="216">
        <f t="shared" si="2"/>
        <v>0</v>
      </c>
      <c r="N54" s="136"/>
    </row>
    <row r="55" spans="1:14" ht="7.5" customHeight="1" thickBot="1" x14ac:dyDescent="0.25">
      <c r="A55" s="106"/>
      <c r="B55" s="13"/>
      <c r="C55" s="13"/>
      <c r="D55" s="13"/>
      <c r="E55" s="13"/>
      <c r="F55" s="13"/>
      <c r="G55" s="13"/>
      <c r="H55" s="11"/>
      <c r="I55" s="12"/>
      <c r="J55" s="83"/>
      <c r="K55" s="14"/>
      <c r="N55" s="84"/>
    </row>
    <row r="56" spans="1:14" ht="15.75" thickBot="1" x14ac:dyDescent="0.25">
      <c r="A56" s="95" t="s">
        <v>46</v>
      </c>
      <c r="B56" s="94"/>
      <c r="C56" s="96"/>
      <c r="D56" s="97"/>
      <c r="E56" s="97"/>
      <c r="F56" s="97"/>
      <c r="G56" s="97"/>
      <c r="H56" s="98" t="str">
        <f>+H27</f>
        <v>Beskæft. grad</v>
      </c>
      <c r="I56" s="99"/>
      <c r="J56" s="100"/>
      <c r="K56" s="101"/>
    </row>
    <row r="57" spans="1:14" ht="16.5" thickTop="1" thickBot="1" x14ac:dyDescent="0.25">
      <c r="A57" s="39"/>
      <c r="B57" s="86" t="s">
        <v>68</v>
      </c>
      <c r="C57" s="86"/>
      <c r="D57" s="86"/>
      <c r="E57" s="86"/>
      <c r="F57" s="86"/>
      <c r="G57" s="86"/>
      <c r="H57" s="102"/>
      <c r="I57" s="87">
        <f>+'Ark2'!C20</f>
        <v>9920.268</v>
      </c>
      <c r="J57" s="50">
        <f>+I57*H57/100</f>
        <v>0</v>
      </c>
      <c r="K57" s="40">
        <f>+J57/12</f>
        <v>0</v>
      </c>
    </row>
    <row r="58" spans="1:14" ht="15.75" thickBot="1" x14ac:dyDescent="0.25">
      <c r="A58" s="176"/>
      <c r="B58" s="177" t="s">
        <v>57</v>
      </c>
      <c r="C58" s="177"/>
      <c r="D58" s="177"/>
      <c r="E58" s="177"/>
      <c r="F58" s="177"/>
      <c r="G58" s="177"/>
      <c r="H58" s="181" t="s">
        <v>58</v>
      </c>
      <c r="I58" s="178"/>
      <c r="J58" s="180"/>
      <c r="K58" s="179">
        <v>0</v>
      </c>
    </row>
    <row r="59" spans="1:14" ht="4.5" customHeight="1" thickBot="1" x14ac:dyDescent="0.25">
      <c r="A59" s="11"/>
      <c r="B59" s="13"/>
      <c r="C59" s="13"/>
      <c r="D59" s="13"/>
      <c r="E59" s="13"/>
      <c r="F59" s="13"/>
      <c r="G59" s="13"/>
      <c r="H59" s="11"/>
      <c r="I59" s="12"/>
      <c r="J59" s="83"/>
      <c r="K59" s="14"/>
      <c r="N59" s="84"/>
    </row>
    <row r="60" spans="1:14" ht="15.75" thickBot="1" x14ac:dyDescent="0.25">
      <c r="A60" s="254" t="s">
        <v>8</v>
      </c>
      <c r="B60" s="255"/>
      <c r="C60" s="255"/>
      <c r="D60" s="255"/>
      <c r="E60" s="255"/>
      <c r="F60" s="255"/>
      <c r="G60" s="255"/>
      <c r="H60" s="255"/>
      <c r="I60" s="255"/>
      <c r="J60" s="51">
        <f>SUM(J13:J59)</f>
        <v>0</v>
      </c>
      <c r="K60" s="24">
        <f>SUM(K13:K59)</f>
        <v>0</v>
      </c>
    </row>
    <row r="61" spans="1:14" ht="5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4"/>
      <c r="K61" s="14"/>
    </row>
    <row r="62" spans="1:14" s="107" customFormat="1" ht="11.25" x14ac:dyDescent="0.2">
      <c r="A62" s="106" t="s">
        <v>100</v>
      </c>
      <c r="J62" s="108"/>
      <c r="K62" s="108"/>
      <c r="N62" s="109"/>
    </row>
    <row r="63" spans="1:14" s="107" customFormat="1" ht="11.25" x14ac:dyDescent="0.2">
      <c r="A63" s="106" t="s">
        <v>48</v>
      </c>
      <c r="J63" s="108"/>
      <c r="K63" s="108"/>
      <c r="N63" s="109"/>
    </row>
    <row r="64" spans="1:14" ht="7.5" customHeight="1" thickBot="1" x14ac:dyDescent="0.25"/>
    <row r="65" spans="1:11" ht="12" customHeight="1" thickBot="1" x14ac:dyDescent="0.25">
      <c r="A65" s="244" t="s">
        <v>52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6"/>
    </row>
  </sheetData>
  <mergeCells count="13">
    <mergeCell ref="A65:K65"/>
    <mergeCell ref="E24:G24"/>
    <mergeCell ref="B15:E15"/>
    <mergeCell ref="B35:G35"/>
    <mergeCell ref="B16:E16"/>
    <mergeCell ref="B37:G37"/>
    <mergeCell ref="A60:I60"/>
    <mergeCell ref="B13:E13"/>
    <mergeCell ref="A1:K1"/>
    <mergeCell ref="A3:K3"/>
    <mergeCell ref="A2:B2"/>
    <mergeCell ref="C2:G2"/>
    <mergeCell ref="J2:K2"/>
  </mergeCells>
  <phoneticPr fontId="17" type="noConversion"/>
  <pageMargins left="0.51" right="0.15625" top="0.24" bottom="0.35433070866141736" header="0" footer="0"/>
  <pageSetup paperSize="9" fitToHeight="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63"/>
  <sheetViews>
    <sheetView showZeros="0" showOutlineSymbols="0" zoomScaleNormal="100" workbookViewId="0">
      <selection activeCell="D2" sqref="D2"/>
    </sheetView>
  </sheetViews>
  <sheetFormatPr defaultRowHeight="12.75" x14ac:dyDescent="0.2"/>
  <cols>
    <col min="1" max="1" width="60.28515625" customWidth="1"/>
    <col min="2" max="2" width="10.140625" bestFit="1" customWidth="1"/>
    <col min="3" max="3" width="10.7109375" customWidth="1"/>
  </cols>
  <sheetData>
    <row r="1" spans="1:5" x14ac:dyDescent="0.2">
      <c r="A1" s="5" t="s">
        <v>2</v>
      </c>
      <c r="B1" s="6">
        <v>36616</v>
      </c>
      <c r="C1" s="231" t="s">
        <v>108</v>
      </c>
    </row>
    <row r="2" spans="1:5" x14ac:dyDescent="0.2">
      <c r="A2" s="5" t="s">
        <v>3</v>
      </c>
      <c r="B2" s="161">
        <v>1</v>
      </c>
      <c r="C2" s="188">
        <v>1.653378</v>
      </c>
    </row>
    <row r="3" spans="1:5" x14ac:dyDescent="0.2">
      <c r="A3" s="5"/>
      <c r="B3" s="7"/>
      <c r="C3" s="7">
        <f>$B3*C2</f>
        <v>0</v>
      </c>
    </row>
    <row r="4" spans="1:5" x14ac:dyDescent="0.2">
      <c r="A4" s="5" t="s">
        <v>87</v>
      </c>
      <c r="B4" s="79">
        <v>11246</v>
      </c>
      <c r="C4" s="79">
        <f>$B4*C2</f>
        <v>18593.888987999999</v>
      </c>
    </row>
    <row r="5" spans="1:5" x14ac:dyDescent="0.2">
      <c r="A5" s="9" t="s">
        <v>86</v>
      </c>
      <c r="B5" s="158">
        <v>9891</v>
      </c>
      <c r="C5" s="158">
        <f>$B5*C2</f>
        <v>16353.561798000001</v>
      </c>
    </row>
    <row r="6" spans="1:5" x14ac:dyDescent="0.2">
      <c r="A6" s="9" t="s">
        <v>4</v>
      </c>
      <c r="B6" s="158">
        <v>90</v>
      </c>
      <c r="C6" s="158">
        <f>$B6*C2</f>
        <v>148.80402000000001</v>
      </c>
    </row>
    <row r="7" spans="1:5" x14ac:dyDescent="0.2">
      <c r="A7" s="5" t="s">
        <v>5</v>
      </c>
      <c r="B7" s="225"/>
      <c r="C7" s="226">
        <f>$B7*C2</f>
        <v>0</v>
      </c>
    </row>
    <row r="8" spans="1:5" x14ac:dyDescent="0.2">
      <c r="A8" s="5" t="s">
        <v>20</v>
      </c>
      <c r="B8" s="79">
        <v>25.84</v>
      </c>
      <c r="C8" s="158">
        <f>$B8*C2</f>
        <v>42.72328752</v>
      </c>
    </row>
    <row r="9" spans="1:5" x14ac:dyDescent="0.2">
      <c r="A9" s="10" t="s">
        <v>15</v>
      </c>
      <c r="B9" s="79">
        <v>32.43</v>
      </c>
      <c r="C9" s="158">
        <f>$B9*C2</f>
        <v>53.619048540000001</v>
      </c>
    </row>
    <row r="10" spans="1:5" x14ac:dyDescent="0.2">
      <c r="A10" s="5" t="s">
        <v>19</v>
      </c>
      <c r="B10" s="79">
        <v>15</v>
      </c>
      <c r="C10" s="158">
        <f>+B10*C2</f>
        <v>24.80067</v>
      </c>
    </row>
    <row r="11" spans="1:5" x14ac:dyDescent="0.2">
      <c r="A11" s="10" t="s">
        <v>85</v>
      </c>
      <c r="B11" s="159">
        <v>13637</v>
      </c>
      <c r="C11" s="160">
        <f>$B11*C2</f>
        <v>22547.115785999998</v>
      </c>
    </row>
    <row r="12" spans="1:5" x14ac:dyDescent="0.2">
      <c r="A12" s="10" t="s">
        <v>84</v>
      </c>
      <c r="B12" s="159">
        <v>12282</v>
      </c>
      <c r="C12" s="160">
        <f>$B12*C2</f>
        <v>20306.788595999999</v>
      </c>
      <c r="E12" s="8"/>
    </row>
    <row r="13" spans="1:5" x14ac:dyDescent="0.2">
      <c r="A13" s="10" t="s">
        <v>80</v>
      </c>
      <c r="B13" s="159">
        <v>5882</v>
      </c>
      <c r="C13" s="160">
        <f>+B13*C2+('Ark3'!B21-'Ark3'!B20)*12</f>
        <v>20654.169395999998</v>
      </c>
      <c r="E13" s="105"/>
    </row>
    <row r="14" spans="1:5" x14ac:dyDescent="0.2">
      <c r="A14" s="10" t="s">
        <v>81</v>
      </c>
      <c r="B14" s="159">
        <v>5991</v>
      </c>
      <c r="C14" s="160">
        <f>+B14*C2+('Ark3'!B14-'Ark3'!B13)*12</f>
        <v>17021.387598000001</v>
      </c>
      <c r="E14" s="13"/>
    </row>
    <row r="15" spans="1:5" x14ac:dyDescent="0.2">
      <c r="A15" s="10" t="s">
        <v>82</v>
      </c>
      <c r="B15" s="159">
        <v>2202</v>
      </c>
      <c r="C15" s="160">
        <f>B15*C2+('Ark3'!B22-'Ark3'!B20)*12</f>
        <v>25797.73835600006</v>
      </c>
    </row>
    <row r="16" spans="1:5" x14ac:dyDescent="0.2">
      <c r="A16" s="10" t="s">
        <v>83</v>
      </c>
      <c r="B16" s="159">
        <v>0</v>
      </c>
      <c r="C16" s="160">
        <f>+B16*C2+('Ark3'!B15-'Ark3'!B13)*12</f>
        <v>14706.999999999942</v>
      </c>
    </row>
    <row r="17" spans="1:3" x14ac:dyDescent="0.2">
      <c r="A17" s="10" t="s">
        <v>13</v>
      </c>
      <c r="B17" s="159">
        <v>15400</v>
      </c>
      <c r="C17" s="160">
        <f>B17*C2</f>
        <v>25462.021199999999</v>
      </c>
    </row>
    <row r="18" spans="1:3" x14ac:dyDescent="0.2">
      <c r="A18" s="18" t="s">
        <v>16</v>
      </c>
      <c r="B18" s="79">
        <v>18.920000000000002</v>
      </c>
      <c r="C18" s="79">
        <f>+B18*C2</f>
        <v>31.281911760000003</v>
      </c>
    </row>
    <row r="19" spans="1:3" x14ac:dyDescent="0.2">
      <c r="A19" s="174"/>
      <c r="B19" s="8"/>
      <c r="C19" s="8"/>
    </row>
    <row r="20" spans="1:3" x14ac:dyDescent="0.2">
      <c r="A20" s="10" t="s">
        <v>67</v>
      </c>
      <c r="B20" s="79">
        <v>6000</v>
      </c>
      <c r="C20" s="79">
        <f>+B20*C2</f>
        <v>9920.268</v>
      </c>
    </row>
    <row r="21" spans="1:3" x14ac:dyDescent="0.2">
      <c r="A21" s="174"/>
      <c r="B21" s="8"/>
      <c r="C21" s="8"/>
    </row>
    <row r="22" spans="1:3" x14ac:dyDescent="0.2">
      <c r="A22" s="10" t="s">
        <v>62</v>
      </c>
      <c r="B22" s="79">
        <v>11200</v>
      </c>
      <c r="C22" s="79">
        <f>+B22*C2</f>
        <v>18517.833600000002</v>
      </c>
    </row>
    <row r="23" spans="1:3" x14ac:dyDescent="0.2">
      <c r="A23" s="10" t="s">
        <v>66</v>
      </c>
      <c r="B23" s="79">
        <v>9000</v>
      </c>
      <c r="C23" s="79">
        <f>+B23*C2</f>
        <v>14880.402</v>
      </c>
    </row>
    <row r="24" spans="1:3" x14ac:dyDescent="0.2">
      <c r="A24" s="10" t="s">
        <v>70</v>
      </c>
      <c r="B24" s="79">
        <v>5000</v>
      </c>
      <c r="C24" s="79">
        <f>+B24*C2</f>
        <v>8266.89</v>
      </c>
    </row>
    <row r="25" spans="1:3" x14ac:dyDescent="0.2">
      <c r="B25" s="16"/>
      <c r="C25" s="8"/>
    </row>
    <row r="26" spans="1:3" x14ac:dyDescent="0.2">
      <c r="A26" s="207" t="s">
        <v>106</v>
      </c>
      <c r="B26" s="16"/>
      <c r="C26" s="8"/>
    </row>
    <row r="27" spans="1:3" x14ac:dyDescent="0.2">
      <c r="A27" s="208" t="s">
        <v>73</v>
      </c>
      <c r="B27" s="225"/>
      <c r="C27" s="225">
        <f>+B27*C2</f>
        <v>0</v>
      </c>
    </row>
    <row r="28" spans="1:3" x14ac:dyDescent="0.2">
      <c r="A28" s="208" t="s">
        <v>74</v>
      </c>
      <c r="B28" s="225"/>
      <c r="C28" s="225">
        <f>+B28*C2</f>
        <v>0</v>
      </c>
    </row>
    <row r="29" spans="1:3" x14ac:dyDescent="0.2">
      <c r="A29" s="13"/>
      <c r="B29" s="8"/>
      <c r="C29" s="8"/>
    </row>
    <row r="35" spans="2:3" x14ac:dyDescent="0.2">
      <c r="B35" s="8"/>
      <c r="C35" s="8"/>
    </row>
    <row r="36" spans="2:3" x14ac:dyDescent="0.2">
      <c r="B36" s="8"/>
      <c r="C36" s="8"/>
    </row>
    <row r="37" spans="2:3" x14ac:dyDescent="0.2">
      <c r="B37" s="8"/>
      <c r="C37" s="8"/>
    </row>
    <row r="38" spans="2:3" x14ac:dyDescent="0.2">
      <c r="B38" s="8"/>
      <c r="C38" s="8"/>
    </row>
    <row r="39" spans="2:3" x14ac:dyDescent="0.2">
      <c r="B39" s="8"/>
      <c r="C39" s="8"/>
    </row>
    <row r="40" spans="2:3" x14ac:dyDescent="0.2">
      <c r="B40" s="8"/>
      <c r="C40" s="8"/>
    </row>
    <row r="41" spans="2:3" x14ac:dyDescent="0.2">
      <c r="B41" s="8"/>
      <c r="C41" s="8"/>
    </row>
    <row r="42" spans="2:3" x14ac:dyDescent="0.2">
      <c r="B42" s="8"/>
      <c r="C42" s="8"/>
    </row>
    <row r="43" spans="2:3" x14ac:dyDescent="0.2">
      <c r="B43" s="8"/>
      <c r="C43" s="8"/>
    </row>
    <row r="44" spans="2:3" x14ac:dyDescent="0.2">
      <c r="B44" s="8"/>
      <c r="C44" s="8"/>
    </row>
    <row r="45" spans="2:3" x14ac:dyDescent="0.2">
      <c r="B45" s="8"/>
      <c r="C45" s="8"/>
    </row>
    <row r="46" spans="2:3" x14ac:dyDescent="0.2">
      <c r="B46" s="8"/>
      <c r="C46" s="8"/>
    </row>
    <row r="47" spans="2:3" x14ac:dyDescent="0.2">
      <c r="B47" s="8"/>
      <c r="C47" s="8"/>
    </row>
    <row r="48" spans="2:3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</sheetData>
  <phoneticPr fontId="17" type="noConversion"/>
  <printOptions headings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1"/>
  <sheetViews>
    <sheetView showZeros="0" showOutlineSymbols="0" view="pageLayout" zoomScale="90" zoomScaleNormal="80" zoomScalePageLayoutView="90" workbookViewId="0">
      <selection sqref="A1:B1"/>
    </sheetView>
  </sheetViews>
  <sheetFormatPr defaultRowHeight="12.75" x14ac:dyDescent="0.2"/>
  <cols>
    <col min="1" max="1" width="9.140625" style="13" customWidth="1"/>
    <col min="2" max="2" width="12.5703125" style="13" customWidth="1"/>
    <col min="3" max="3" width="10.28515625" customWidth="1"/>
    <col min="4" max="4" width="12.28515625" style="8" customWidth="1"/>
    <col min="5" max="5" width="11.5703125" customWidth="1"/>
    <col min="6" max="6" width="14.28515625" customWidth="1"/>
    <col min="7" max="7" width="12" customWidth="1"/>
    <col min="8" max="8" width="14.140625" customWidth="1"/>
  </cols>
  <sheetData>
    <row r="1" spans="1:8" ht="44.25" customHeight="1" x14ac:dyDescent="0.2">
      <c r="A1" s="256" t="s">
        <v>109</v>
      </c>
      <c r="B1" s="257"/>
    </row>
    <row r="2" spans="1:8" s="13" customFormat="1" ht="15" customHeight="1" x14ac:dyDescent="0.2">
      <c r="A2" s="73" t="s">
        <v>6</v>
      </c>
      <c r="B2" s="73" t="s">
        <v>22</v>
      </c>
      <c r="C2" s="258" t="s">
        <v>39</v>
      </c>
      <c r="D2" s="259"/>
      <c r="E2" s="74">
        <v>1.653378</v>
      </c>
      <c r="G2" s="73"/>
      <c r="H2" s="73"/>
    </row>
    <row r="3" spans="1:8" ht="15" customHeight="1" x14ac:dyDescent="0.25">
      <c r="A3" s="172">
        <v>26</v>
      </c>
      <c r="B3" s="229">
        <v>30738.583333333299</v>
      </c>
      <c r="C3" s="260" t="s">
        <v>38</v>
      </c>
      <c r="D3" s="261"/>
      <c r="E3" s="261"/>
    </row>
    <row r="4" spans="1:8" ht="15" customHeight="1" x14ac:dyDescent="0.25">
      <c r="A4" s="172">
        <v>27</v>
      </c>
      <c r="B4" s="229">
        <v>31222.416666666668</v>
      </c>
      <c r="C4" s="82" t="s">
        <v>42</v>
      </c>
      <c r="D4" s="79" t="s">
        <v>43</v>
      </c>
      <c r="E4" s="80" t="s">
        <v>44</v>
      </c>
    </row>
    <row r="5" spans="1:8" ht="15" customHeight="1" x14ac:dyDescent="0.25">
      <c r="A5" s="172">
        <v>28</v>
      </c>
      <c r="B5" s="229">
        <v>31716.25</v>
      </c>
      <c r="C5" s="171">
        <f>15400+2000+2000+4800</f>
        <v>24200</v>
      </c>
      <c r="D5" s="79">
        <f>+C5*E2/12</f>
        <v>3334.3123000000001</v>
      </c>
      <c r="E5" s="187">
        <f>+B5+D5</f>
        <v>35050.562299999998</v>
      </c>
      <c r="F5" s="78"/>
      <c r="G5" s="8"/>
      <c r="H5" s="8"/>
    </row>
    <row r="6" spans="1:8" ht="15" customHeight="1" x14ac:dyDescent="0.25">
      <c r="A6" s="172">
        <v>29</v>
      </c>
      <c r="B6" s="229">
        <v>32220.5</v>
      </c>
      <c r="C6" s="78"/>
      <c r="E6" s="77"/>
      <c r="F6" s="260" t="s">
        <v>45</v>
      </c>
      <c r="G6" s="261"/>
      <c r="H6" s="261"/>
    </row>
    <row r="7" spans="1:8" ht="15" customHeight="1" x14ac:dyDescent="0.25">
      <c r="A7" s="173">
        <v>30</v>
      </c>
      <c r="B7" s="230">
        <v>32734.666666666668</v>
      </c>
      <c r="C7" s="78"/>
      <c r="E7" s="77"/>
      <c r="F7" s="82" t="s">
        <v>42</v>
      </c>
      <c r="G7" s="79" t="s">
        <v>43</v>
      </c>
      <c r="H7" s="80" t="s">
        <v>44</v>
      </c>
    </row>
    <row r="8" spans="1:8" ht="15" customHeight="1" x14ac:dyDescent="0.25">
      <c r="A8" s="172">
        <v>31</v>
      </c>
      <c r="B8" s="229">
        <v>33260.083333333336</v>
      </c>
      <c r="C8" s="171">
        <f>15400+2000+2000+4800</f>
        <v>24200</v>
      </c>
      <c r="D8" s="79">
        <f>+C8*E2/12</f>
        <v>3334.3123000000001</v>
      </c>
      <c r="E8" s="163">
        <f>+B8+D8</f>
        <v>36594.395633333334</v>
      </c>
      <c r="F8" s="162">
        <f>13000+3000+4800</f>
        <v>20800</v>
      </c>
      <c r="G8" s="79">
        <f>+F8*E2/12</f>
        <v>2865.8552</v>
      </c>
      <c r="H8" s="163">
        <f>+G8+B8</f>
        <v>36125.938533333334</v>
      </c>
    </row>
    <row r="9" spans="1:8" ht="15" customHeight="1" x14ac:dyDescent="0.25">
      <c r="A9" s="172">
        <v>32</v>
      </c>
      <c r="B9" s="229">
        <v>33796</v>
      </c>
      <c r="E9" s="75"/>
      <c r="F9" s="78"/>
      <c r="G9" s="8"/>
      <c r="H9" s="75"/>
    </row>
    <row r="10" spans="1:8" ht="15" customHeight="1" x14ac:dyDescent="0.25">
      <c r="A10" s="172">
        <v>33</v>
      </c>
      <c r="B10" s="229">
        <v>34342.916666666664</v>
      </c>
      <c r="C10" s="171">
        <f>15400+2000+4800</f>
        <v>22200</v>
      </c>
      <c r="D10" s="79">
        <f>+C10*E2/12</f>
        <v>3058.7492999999999</v>
      </c>
      <c r="E10" s="163">
        <f>+B10+D10</f>
        <v>37401.665966666667</v>
      </c>
      <c r="F10" s="78"/>
      <c r="G10" s="8">
        <f>+F10*H2/12</f>
        <v>0</v>
      </c>
      <c r="H10" s="77"/>
    </row>
    <row r="11" spans="1:8" ht="15" customHeight="1" x14ac:dyDescent="0.25">
      <c r="A11" s="172">
        <v>34</v>
      </c>
      <c r="B11" s="229">
        <v>34901.583333333336</v>
      </c>
      <c r="E11" s="75"/>
      <c r="F11" s="78"/>
      <c r="G11" s="8"/>
      <c r="H11" s="75"/>
    </row>
    <row r="12" spans="1:8" ht="15" customHeight="1" x14ac:dyDescent="0.25">
      <c r="A12" s="173">
        <v>35</v>
      </c>
      <c r="B12" s="230">
        <v>35471</v>
      </c>
      <c r="E12" s="75"/>
      <c r="F12" s="162">
        <f>13000+3000+4800</f>
        <v>20800</v>
      </c>
      <c r="G12" s="79">
        <f>+F12*E2/12</f>
        <v>2865.8552</v>
      </c>
      <c r="H12" s="164">
        <f>+G12+B12</f>
        <v>38336.855199999998</v>
      </c>
    </row>
    <row r="13" spans="1:8" ht="15" customHeight="1" x14ac:dyDescent="0.25">
      <c r="A13" s="172">
        <v>36</v>
      </c>
      <c r="B13" s="229">
        <v>36052.583333333336</v>
      </c>
      <c r="C13" s="80">
        <f>6600+7900+4800</f>
        <v>19300</v>
      </c>
      <c r="D13" s="79">
        <f>C13*E2/12</f>
        <v>2659.1829499999999</v>
      </c>
      <c r="E13" s="196">
        <f>B10+D13</f>
        <v>37002.099616666666</v>
      </c>
      <c r="F13" s="78"/>
      <c r="G13" s="8"/>
      <c r="H13" s="75"/>
    </row>
    <row r="14" spans="1:8" ht="15" customHeight="1" x14ac:dyDescent="0.25">
      <c r="A14" s="172">
        <v>37</v>
      </c>
      <c r="B14" s="229">
        <v>36645.583333333336</v>
      </c>
      <c r="C14" s="78">
        <f>2000+15400+4800</f>
        <v>22200</v>
      </c>
      <c r="D14" s="8">
        <f>C14*E2/12</f>
        <v>3058.7492999999999</v>
      </c>
      <c r="E14" s="228">
        <f>B14+D14</f>
        <v>39704.332633333339</v>
      </c>
      <c r="F14" s="76"/>
      <c r="G14" s="8"/>
      <c r="H14" s="75"/>
    </row>
    <row r="15" spans="1:8" ht="15" customHeight="1" x14ac:dyDescent="0.25">
      <c r="A15" s="172">
        <v>38</v>
      </c>
      <c r="B15" s="229">
        <v>37278.166666666664</v>
      </c>
      <c r="C15" s="80">
        <f>7900+4800</f>
        <v>12700</v>
      </c>
      <c r="D15" s="79">
        <f>C15*E2/12</f>
        <v>1749.8250500000001</v>
      </c>
      <c r="E15" s="227">
        <f>B13+D15</f>
        <v>37802.408383333335</v>
      </c>
      <c r="F15" s="76"/>
      <c r="G15" s="8"/>
      <c r="H15" s="75"/>
    </row>
    <row r="16" spans="1:8" ht="15" customHeight="1" x14ac:dyDescent="0.25">
      <c r="A16" s="172">
        <v>39</v>
      </c>
      <c r="B16" s="229">
        <v>37908.25</v>
      </c>
      <c r="E16" t="s">
        <v>105</v>
      </c>
      <c r="F16" s="76">
        <f>13000+4800</f>
        <v>17800</v>
      </c>
      <c r="G16" s="8">
        <f>F16*E2/12</f>
        <v>2452.5107000000003</v>
      </c>
      <c r="H16" s="224">
        <f>B17+G16</f>
        <v>41003.927366666663</v>
      </c>
    </row>
    <row r="17" spans="1:8" ht="15" customHeight="1" x14ac:dyDescent="0.25">
      <c r="A17" s="173">
        <v>40</v>
      </c>
      <c r="B17" s="230">
        <v>38551.416666666664</v>
      </c>
      <c r="F17" s="162">
        <f>13000+10000+4800</f>
        <v>27800</v>
      </c>
      <c r="G17" s="79">
        <f>+F17*E2/12</f>
        <v>3830.3256999999999</v>
      </c>
      <c r="H17" s="164">
        <f>+G17+B17</f>
        <v>42381.742366666665</v>
      </c>
    </row>
    <row r="18" spans="1:8" ht="15" customHeight="1" x14ac:dyDescent="0.25">
      <c r="A18" s="172">
        <v>41</v>
      </c>
      <c r="B18" s="229">
        <v>39207.416666666664</v>
      </c>
      <c r="F18" s="76"/>
      <c r="G18" s="8"/>
      <c r="H18" s="75"/>
    </row>
    <row r="19" spans="1:8" ht="15" customHeight="1" x14ac:dyDescent="0.25">
      <c r="A19" s="172">
        <v>42</v>
      </c>
      <c r="B19" s="229">
        <v>39876.416666666664</v>
      </c>
      <c r="F19" s="76"/>
      <c r="G19" s="8"/>
      <c r="H19" s="75"/>
    </row>
    <row r="20" spans="1:8" ht="15" customHeight="1" x14ac:dyDescent="0.25">
      <c r="A20" s="172">
        <v>43</v>
      </c>
      <c r="B20" s="229">
        <v>40762.666666666664</v>
      </c>
      <c r="F20" s="162">
        <f>5500+13000+4800</f>
        <v>23300</v>
      </c>
      <c r="G20" s="79">
        <f>+F20*E2/12</f>
        <v>3210.3089500000001</v>
      </c>
      <c r="H20" s="163">
        <f>+G20+B20</f>
        <v>43972.975616666663</v>
      </c>
    </row>
    <row r="21" spans="1:8" ht="15" customHeight="1" x14ac:dyDescent="0.25">
      <c r="A21" s="172">
        <v>44</v>
      </c>
      <c r="B21" s="229">
        <v>41673.416666666664</v>
      </c>
    </row>
    <row r="22" spans="1:8" ht="15" customHeight="1" x14ac:dyDescent="0.25">
      <c r="A22" s="173">
        <v>45</v>
      </c>
      <c r="B22" s="230">
        <v>42609.083333333336</v>
      </c>
    </row>
    <row r="23" spans="1:8" ht="1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24.95" customHeight="1" x14ac:dyDescent="0.2"/>
    <row r="51" ht="24.95" customHeight="1" x14ac:dyDescent="0.2"/>
  </sheetData>
  <mergeCells count="4">
    <mergeCell ref="A1:B1"/>
    <mergeCell ref="C2:D2"/>
    <mergeCell ref="C3:E3"/>
    <mergeCell ref="F6:H6"/>
  </mergeCells>
  <phoneticPr fontId="17" type="noConversion"/>
  <pageMargins left="0.4375" right="0.33333333333333331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Nyborg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2019-09-18T07:37:26Z</cp:lastPrinted>
  <dcterms:created xsi:type="dcterms:W3CDTF">2004-09-06T10:27:11Z</dcterms:created>
  <dcterms:modified xsi:type="dcterms:W3CDTF">2026-05-04T11:08:05Z</dcterms:modified>
</cp:coreProperties>
</file>